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500" activeTab="1"/>
  </bookViews>
  <sheets>
    <sheet name="january 2017" sheetId="1" r:id="rId1"/>
    <sheet name="final-dec 2016" sheetId="2" r:id="rId2"/>
    <sheet name="101nov" sheetId="3" r:id="rId3"/>
    <sheet name="101 oct" sheetId="4" r:id="rId4"/>
    <sheet name="101 sept" sheetId="5" r:id="rId5"/>
    <sheet name="101 AUGUST" sheetId="6" r:id="rId6"/>
    <sheet name="101 JULY" sheetId="7" r:id="rId7"/>
    <sheet name="101 JUNE" sheetId="8" r:id="rId8"/>
    <sheet name="101 MAY" sheetId="9" r:id="rId9"/>
    <sheet name="101 Apr " sheetId="10" r:id="rId10"/>
    <sheet name="101 Mar REVISED" sheetId="11" r:id="rId11"/>
    <sheet name="101 Mar" sheetId="12" r:id="rId12"/>
    <sheet name="101 Feb" sheetId="13" r:id="rId13"/>
    <sheet name="102" sheetId="14" r:id="rId14"/>
    <sheet name="101 Jan" sheetId="15" r:id="rId15"/>
    <sheet name="Annex A" sheetId="16" r:id="rId16"/>
  </sheets>
  <definedNames>
    <definedName name="_xlnm.Print_Area" localSheetId="9">'101 Apr '!$A$1:$AC$55</definedName>
    <definedName name="_xlnm.Print_Area" localSheetId="5">'101 AUGUST'!$A$1:$AC$60</definedName>
    <definedName name="_xlnm.Print_Area" localSheetId="12">'101 Feb'!$A$1:$AC$52</definedName>
    <definedName name="_xlnm.Print_Area" localSheetId="14">'101 Jan'!$A$1:$AC$52</definedName>
    <definedName name="_xlnm.Print_Area" localSheetId="6">'101 JULY'!$A$1:$AC$60</definedName>
    <definedName name="_xlnm.Print_Area" localSheetId="7">'101 JUNE'!$A$1:$AC$55</definedName>
    <definedName name="_xlnm.Print_Area" localSheetId="11">'101 Mar'!$A$1:$AC$55</definedName>
    <definedName name="_xlnm.Print_Area" localSheetId="10">'101 Mar REVISED'!$A$1:$AC$55</definedName>
    <definedName name="_xlnm.Print_Area" localSheetId="8">'101 MAY'!$A$1:$AC$55</definedName>
    <definedName name="_xlnm.Print_Area" localSheetId="3">'101 oct'!$A$1:$AC$60</definedName>
    <definedName name="_xlnm.Print_Area" localSheetId="4">'101 sept'!$A$1:$AC$60</definedName>
    <definedName name="_xlnm.Print_Area" localSheetId="2">'101nov'!$A$1:$AC$60</definedName>
    <definedName name="_xlnm.Print_Area" localSheetId="13">'102'!$B$28:$V$54</definedName>
    <definedName name="_xlnm.Print_Area" localSheetId="15">'Annex A'!$B$1:$AD$53</definedName>
    <definedName name="_xlnm.Print_Area" localSheetId="1">'final-dec 2016'!$A$1:$AC$60</definedName>
    <definedName name="_xlnm.Print_Area" localSheetId="0">'january 2017'!$A$1:$AC$60</definedName>
  </definedNames>
  <calcPr fullCalcOnLoad="1"/>
</workbook>
</file>

<file path=xl/sharedStrings.xml><?xml version="1.0" encoding="utf-8"?>
<sst xmlns="http://schemas.openxmlformats.org/spreadsheetml/2006/main" count="1851" uniqueCount="129">
  <si>
    <t>Department                             :  DEPARTMENT OF AGRICULTURE</t>
  </si>
  <si>
    <t>Agency/Operating Unit          :  OSEC</t>
  </si>
  <si>
    <t xml:space="preserve">Operating Unit                        :  </t>
  </si>
  <si>
    <t xml:space="preserve">Organizational Code (UACS) :  </t>
  </si>
  <si>
    <t>PARTICULARS</t>
  </si>
  <si>
    <t>CURRENT YEAR BUDGET</t>
  </si>
  <si>
    <t>PRIOR YEAR'S BUDGET</t>
  </si>
  <si>
    <t>SUB-TOTAL</t>
  </si>
  <si>
    <t>TRUST LIABILITIES</t>
  </si>
  <si>
    <t>GRAND TOTAL</t>
  </si>
  <si>
    <t>Remarks</t>
  </si>
  <si>
    <t>PS</t>
  </si>
  <si>
    <t>MOOE</t>
  </si>
  <si>
    <t>FinEx</t>
  </si>
  <si>
    <t>CO</t>
  </si>
  <si>
    <t>TOTAL</t>
  </si>
  <si>
    <t>( 1 )</t>
  </si>
  <si>
    <t>( 2 )</t>
  </si>
  <si>
    <t>(  3 )</t>
  </si>
  <si>
    <t>( 4 )</t>
  </si>
  <si>
    <t>(5) =2+3+4</t>
  </si>
  <si>
    <t>(  6  )</t>
  </si>
  <si>
    <t>( 8 )</t>
  </si>
  <si>
    <t>( 9 )</t>
  </si>
  <si>
    <t>Notice of Cash Allocation</t>
  </si>
  <si>
    <t>MDS Checks Issued</t>
  </si>
  <si>
    <t>Advice to Debit Account</t>
  </si>
  <si>
    <t>Working Fund (NCA Issued to BTr)</t>
  </si>
  <si>
    <t>Tax Remittance Advices Issued</t>
  </si>
  <si>
    <t>Cash Disbursement Ceiling</t>
  </si>
  <si>
    <t>Non-Cash Availment Authority</t>
  </si>
  <si>
    <t>Others (CDT, BTr Docs Stamp. Etc)</t>
  </si>
  <si>
    <t xml:space="preserve">TOTAL </t>
  </si>
  <si>
    <t>SUMMARY</t>
  </si>
  <si>
    <t>Previous Report</t>
  </si>
  <si>
    <t>This Month</t>
  </si>
  <si>
    <t>As of Date</t>
  </si>
  <si>
    <t>Total Disbursement Authorities Received</t>
  </si>
  <si>
    <t>Total Disbursement Program</t>
  </si>
  <si>
    <t>NCA</t>
  </si>
  <si>
    <t>Less: Actual Disbursements</t>
  </si>
  <si>
    <t>(Over)/Under spending</t>
  </si>
  <si>
    <t>TRA</t>
  </si>
  <si>
    <t>CDC</t>
  </si>
  <si>
    <t>NCAA</t>
  </si>
  <si>
    <t>Others</t>
  </si>
  <si>
    <t>Less: Notice of Transfer Allocations Issued</t>
  </si>
  <si>
    <t>Add: Notice of Transfer Allocations Received</t>
  </si>
  <si>
    <t>Total Disbursement Authorities Available</t>
  </si>
  <si>
    <t>Disbursement</t>
  </si>
  <si>
    <t>Balance of Disbursement Authorities as of to date</t>
  </si>
  <si>
    <t>Less: Lapsed NCA</t>
  </si>
  <si>
    <t>Total</t>
  </si>
  <si>
    <t>Current Appropriation</t>
  </si>
  <si>
    <t>Continuing Appropriation</t>
  </si>
  <si>
    <t>Prior Year's Obligations</t>
  </si>
  <si>
    <t>CONTINUING APPROPRIATIONS</t>
  </si>
  <si>
    <t>PRIOR YEAR'S OBLIGATIONS</t>
  </si>
  <si>
    <t>Certified Correct:</t>
  </si>
  <si>
    <t>Chief of the Accounting Unit</t>
  </si>
  <si>
    <t>Approved:</t>
  </si>
  <si>
    <t>Head of the Agency</t>
  </si>
  <si>
    <t>Carry Over from PY</t>
  </si>
  <si>
    <t>x</t>
  </si>
  <si>
    <t>Instructions:</t>
  </si>
  <si>
    <t>Less: Working Fund Issued (with ASA)</t>
  </si>
  <si>
    <t>Add: Working Fund Received (with ASA)</t>
  </si>
  <si>
    <t>Working Fund (NCA from BTr)</t>
  </si>
  <si>
    <t>MODIFIED MONTHLY REPORT OF DISBURSEMENTS</t>
  </si>
  <si>
    <t>This report will be prepared in like manner the FAR No. 4 is prepared except of the following:</t>
  </si>
  <si>
    <t>For the Month of January 2015</t>
  </si>
  <si>
    <t>Funding Cluster Code            :  01, 02, 03, 04 etc</t>
  </si>
  <si>
    <t>4. Disbursement Program and Actual Disbursements will be disaggregated into Sources of Funds, i.e., Current, Continuing and PYO. Disbursement Program shall contain MDP submitted based on Approved Budget (GAA).</t>
  </si>
  <si>
    <t>5. All disbursement data reflected under this report shall be supported by a Report of Monthly Disbursements by PAPs and Mode of Payment or RMDPMP (Annex B). One (1) RMDPMP shall be prepared for each Funding Sources, i.e., Current Appropriations, Continuing Appropriations and PYOs.</t>
  </si>
  <si>
    <t>2. NTAs received will be reflected under Notice of Transfer Allocations received instead of reprting it under NCA.</t>
  </si>
  <si>
    <t>1. Carry-over balances from working funds and other forms of Disbursement Authorities received (Cash other NCA and NTAs), like outstanding TRAs withheld from the previous years' disbursements which are yet to be remitted/refunded will be reflected under Carry-Over from PY (prior years).</t>
  </si>
  <si>
    <r>
      <t xml:space="preserve">3. Working Fund Issued/Received shall be reflected under the same to report </t>
    </r>
    <r>
      <rPr>
        <b/>
        <sz val="10"/>
        <color indexed="8"/>
        <rFont val="Calibri"/>
        <family val="2"/>
      </rPr>
      <t>intra-agency</t>
    </r>
    <r>
      <rPr>
        <sz val="10"/>
        <color indexed="8"/>
        <rFont val="Calibri"/>
        <family val="2"/>
      </rPr>
      <t xml:space="preserve"> transfer of working funds covered by ASA. Those WFs received from BTr/DBM shall be reflected under Working Fund on the time (month) it was credited to the designated bank account.</t>
    </r>
  </si>
  <si>
    <t>6. Submission shall be made not later than the last working day of the week (weekly) and fifth working day of the following month (montly), whichever comes first.</t>
  </si>
  <si>
    <t>Funding Cluster Code            :  01 1 01 101</t>
  </si>
  <si>
    <t>Organizational Code (UACS) :  05 001 03 00005</t>
  </si>
  <si>
    <t>Funding Cluster Code            :  02 1 01 151</t>
  </si>
  <si>
    <t>EVANGELINA RUTH D. POLOYAPOY</t>
  </si>
  <si>
    <t>ENGR. ABELARDO R. BRAGAS</t>
  </si>
  <si>
    <t>For the Month of January 2016</t>
  </si>
  <si>
    <t>For the Month of February  2016</t>
  </si>
  <si>
    <t>ELENA B. DE LOS SANTOS</t>
  </si>
  <si>
    <t>For the Month of March  2016</t>
  </si>
  <si>
    <t>REVISED</t>
  </si>
  <si>
    <t>For the Month of April  2016</t>
  </si>
  <si>
    <t>For the Month of May  2016</t>
  </si>
  <si>
    <t>ELENA B. DE LOS SANTOS, PHD</t>
  </si>
  <si>
    <t>For the Month of June  2016</t>
  </si>
  <si>
    <t>FAR No. 4</t>
  </si>
  <si>
    <t>For the Month of July  2016</t>
  </si>
  <si>
    <t>For the Month of August  2016</t>
  </si>
  <si>
    <t>For the Month of September , 2016</t>
  </si>
  <si>
    <t>June</t>
  </si>
  <si>
    <t>March</t>
  </si>
  <si>
    <t>September</t>
  </si>
  <si>
    <t>book reversal</t>
  </si>
  <si>
    <t>reversal sept</t>
  </si>
  <si>
    <t>chk 98342  04/22/2016</t>
  </si>
  <si>
    <t>booked july 2016</t>
  </si>
  <si>
    <t xml:space="preserve">           prior</t>
  </si>
  <si>
    <t>sept cancelled/stale</t>
  </si>
  <si>
    <t xml:space="preserve">          current</t>
  </si>
  <si>
    <t>available balance</t>
  </si>
  <si>
    <t>prior year cancelled checks -july to sept</t>
  </si>
  <si>
    <t>for reversal</t>
  </si>
  <si>
    <t>Note: inclusive-terminal pay</t>
  </si>
  <si>
    <t>bank bal-101</t>
  </si>
  <si>
    <t>bank balance-terminal</t>
  </si>
  <si>
    <t>Add: bank balance/terminal pay balance</t>
  </si>
  <si>
    <t>For the Month of October, 2016</t>
  </si>
  <si>
    <t>current</t>
  </si>
  <si>
    <t>prior</t>
  </si>
  <si>
    <t>ps</t>
  </si>
  <si>
    <t>mooe</t>
  </si>
  <si>
    <t>co</t>
  </si>
  <si>
    <t>rci</t>
  </si>
  <si>
    <t>lddap</t>
  </si>
  <si>
    <t>For the Month of November, 2016</t>
  </si>
  <si>
    <t>For the Month of December, 2016</t>
  </si>
  <si>
    <t>For the Month of January, 2017</t>
  </si>
  <si>
    <t>nca-101</t>
  </si>
  <si>
    <t>terminal pay</t>
  </si>
  <si>
    <t>balance</t>
  </si>
  <si>
    <t>REVISED COPY</t>
  </si>
  <si>
    <t>Regional Executive Director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</si>
</sst>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3\ \)"/>
    <numFmt numFmtId="165" formatCode="\(\ \4\ \)"/>
  </numFmts>
  <fonts count="78">
    <font>
      <sz val="12"/>
      <color theme="1"/>
      <name val="Calibri"/>
      <family val="2"/>
    </font>
    <font>
      <sz val="11"/>
      <color indexed="8"/>
      <name val="Calibri"/>
      <family val="2"/>
    </font>
    <font>
      <sz val="12"/>
      <color indexed="8"/>
      <name val="Calibri"/>
      <family val="2"/>
    </font>
    <font>
      <sz val="10"/>
      <color indexed="8"/>
      <name val="Calibri"/>
      <family val="2"/>
    </font>
    <font>
      <b/>
      <sz val="10"/>
      <name val="Arial"/>
      <family val="2"/>
    </font>
    <font>
      <sz val="10"/>
      <name val="Arial"/>
      <family val="2"/>
    </font>
    <font>
      <sz val="11"/>
      <name val="Arial"/>
      <family val="2"/>
    </font>
    <font>
      <b/>
      <sz val="12"/>
      <name val="Arial"/>
      <family val="2"/>
    </font>
    <font>
      <sz val="12"/>
      <name val="Arial"/>
      <family val="2"/>
    </font>
    <font>
      <b/>
      <sz val="10"/>
      <name val="Arial Narrow"/>
      <family val="2"/>
    </font>
    <font>
      <b/>
      <u val="single"/>
      <sz val="10"/>
      <name val="Arial"/>
      <family val="2"/>
    </font>
    <font>
      <u val="single"/>
      <sz val="10"/>
      <color indexed="8"/>
      <name val="Calibri"/>
      <family val="2"/>
    </font>
    <font>
      <b/>
      <sz val="10"/>
      <color indexed="8"/>
      <name val="Calibri"/>
      <family val="2"/>
    </font>
    <font>
      <u val="single"/>
      <sz val="12"/>
      <color indexed="12"/>
      <name val="Calibri"/>
      <family val="2"/>
    </font>
    <font>
      <u val="single"/>
      <sz val="12"/>
      <color indexed="20"/>
      <name val="Calibri"/>
      <family val="2"/>
    </font>
    <font>
      <sz val="8"/>
      <name val="Calibri"/>
      <family val="2"/>
    </font>
    <font>
      <sz val="9"/>
      <color indexed="8"/>
      <name val="Calibri"/>
      <family val="2"/>
    </font>
    <font>
      <b/>
      <sz val="9"/>
      <color indexed="8"/>
      <name val="Calibri"/>
      <family val="2"/>
    </font>
    <font>
      <b/>
      <sz val="12"/>
      <color indexed="8"/>
      <name val="Calibri"/>
      <family val="2"/>
    </font>
    <font>
      <sz val="10"/>
      <color indexed="8"/>
      <name val="Arial"/>
      <family val="2"/>
    </font>
    <font>
      <b/>
      <sz val="10"/>
      <color indexed="8"/>
      <name val="Arial"/>
      <family val="2"/>
    </font>
    <font>
      <b/>
      <sz val="11"/>
      <name val="Arial"/>
      <family val="2"/>
    </font>
    <font>
      <b/>
      <sz val="11"/>
      <color indexed="8"/>
      <name val="Arial"/>
      <family val="2"/>
    </font>
    <font>
      <b/>
      <sz val="8"/>
      <name val="Arial"/>
      <family val="2"/>
    </font>
    <font>
      <sz val="8"/>
      <color indexed="8"/>
      <name val="Calibri"/>
      <family val="2"/>
    </font>
    <font>
      <sz val="8"/>
      <color indexed="8"/>
      <name val="Arial"/>
      <family val="2"/>
    </font>
    <font>
      <b/>
      <sz val="8"/>
      <color indexed="8"/>
      <name val="Arial"/>
      <family val="2"/>
    </font>
    <font>
      <b/>
      <u val="single"/>
      <sz val="8"/>
      <name val="Arial"/>
      <family val="2"/>
    </font>
    <font>
      <u val="single"/>
      <sz val="8"/>
      <color indexed="8"/>
      <name val="Calibri"/>
      <family val="2"/>
    </font>
    <font>
      <sz val="8"/>
      <name val="Arial"/>
      <family val="2"/>
    </font>
    <font>
      <b/>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
      <name val="Calibri"/>
      <family val="2"/>
    </font>
    <font>
      <sz val="9"/>
      <color theme="1"/>
      <name val="Calibri"/>
      <family val="2"/>
    </font>
    <font>
      <b/>
      <sz val="9"/>
      <color theme="1"/>
      <name val="Calibri"/>
      <family val="2"/>
    </font>
    <font>
      <b/>
      <sz val="12"/>
      <color theme="1"/>
      <name val="Calibri"/>
      <family val="2"/>
    </font>
    <font>
      <b/>
      <sz val="10"/>
      <color theme="1"/>
      <name val="Arial"/>
      <family val="2"/>
    </font>
    <font>
      <sz val="10"/>
      <color theme="1"/>
      <name val="Arial"/>
      <family val="2"/>
    </font>
    <font>
      <b/>
      <sz val="11"/>
      <color theme="1"/>
      <name val="Arial"/>
      <family val="2"/>
    </font>
    <font>
      <sz val="8"/>
      <color theme="1"/>
      <name val="Calibri"/>
      <family val="2"/>
    </font>
    <font>
      <sz val="8"/>
      <color theme="1"/>
      <name val="Arial"/>
      <family val="2"/>
    </font>
    <font>
      <b/>
      <sz val="8"/>
      <color theme="1"/>
      <name val="Arial"/>
      <family val="2"/>
    </font>
    <font>
      <u val="single"/>
      <sz val="8"/>
      <color theme="1"/>
      <name val="Calibri"/>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thin"/>
      <right style="thin"/>
      <top/>
      <bottom/>
    </border>
    <border>
      <left style="thin"/>
      <right style="thin"/>
      <top/>
      <bottom style="medium"/>
    </border>
    <border>
      <left style="thin"/>
      <right style="medium"/>
      <top/>
      <bottom/>
    </border>
    <border>
      <left style="thin"/>
      <right/>
      <top/>
      <bottom/>
    </border>
    <border>
      <left style="medium"/>
      <right style="thin"/>
      <top/>
      <bottom style="medium"/>
    </border>
    <border>
      <left style="thin"/>
      <right style="medium"/>
      <top/>
      <bottom style="medium"/>
    </border>
    <border>
      <left/>
      <right/>
      <top style="medium"/>
      <bottom style="medium"/>
    </border>
    <border>
      <left style="medium"/>
      <right style="medium"/>
      <top style="medium"/>
      <bottom style="medium"/>
    </border>
    <border>
      <left/>
      <right style="thin"/>
      <top/>
      <bottom/>
    </border>
    <border>
      <left style="medium"/>
      <right style="medium"/>
      <top style="medium"/>
      <bottom/>
    </border>
    <border>
      <left style="medium"/>
      <right style="medium"/>
      <top/>
      <bottom/>
    </border>
    <border>
      <left style="medium"/>
      <right/>
      <top/>
      <bottom/>
    </border>
    <border>
      <left style="thin"/>
      <right style="thin"/>
      <top style="thin"/>
      <bottom style="double"/>
    </border>
    <border>
      <left style="thin"/>
      <right style="thin"/>
      <top style="thin"/>
      <bottom/>
    </border>
    <border>
      <left/>
      <right/>
      <top/>
      <bottom style="medium"/>
    </border>
    <border>
      <left/>
      <right style="medium"/>
      <top/>
      <bottom style="medium"/>
    </border>
    <border>
      <left style="medium"/>
      <right style="medium"/>
      <top/>
      <bottom style="medium"/>
    </border>
    <border>
      <left/>
      <right/>
      <top style="medium"/>
      <bottom/>
    </border>
    <border>
      <left/>
      <right/>
      <top style="thin"/>
      <bottom style="double"/>
    </border>
    <border>
      <left style="thin"/>
      <right style="thin"/>
      <top style="medium"/>
      <bottom/>
    </border>
    <border>
      <left style="thin"/>
      <right style="thin"/>
      <top/>
      <bottom style="thin"/>
    </border>
    <border>
      <left/>
      <right/>
      <top/>
      <bottom style="thin"/>
    </border>
    <border>
      <left/>
      <right style="thin"/>
      <top style="medium"/>
      <bottom style="medium"/>
    </border>
    <border>
      <left style="thin"/>
      <right style="thin"/>
      <top style="medium"/>
      <bottom style="medium"/>
    </border>
    <border>
      <left style="thin"/>
      <right/>
      <top style="medium"/>
      <bottom style="medium"/>
    </border>
    <border>
      <left/>
      <right/>
      <top style="thin"/>
      <bottom/>
    </border>
    <border>
      <left style="medium"/>
      <right/>
      <top style="medium"/>
      <bottom style="medium"/>
    </border>
    <border>
      <left/>
      <right style="medium"/>
      <top style="medium"/>
      <bottom style="medium"/>
    </border>
    <border>
      <left style="thin"/>
      <right style="medium"/>
      <top style="medium"/>
      <bottom style="medium"/>
    </border>
    <border>
      <left style="medium"/>
      <right style="thin"/>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32">
    <xf numFmtId="0" fontId="0" fillId="0" borderId="0" xfId="0" applyFont="1" applyAlignment="1">
      <alignment/>
    </xf>
    <xf numFmtId="0" fontId="64" fillId="0" borderId="0" xfId="0" applyFont="1" applyAlignment="1">
      <alignment/>
    </xf>
    <xf numFmtId="0" fontId="4" fillId="0" borderId="0" xfId="0" applyFont="1" applyBorder="1" applyAlignment="1">
      <alignment/>
    </xf>
    <xf numFmtId="4" fontId="4" fillId="0" borderId="0" xfId="0" applyNumberFormat="1" applyFont="1" applyBorder="1" applyAlignment="1">
      <alignment/>
    </xf>
    <xf numFmtId="4" fontId="5" fillId="0" borderId="0" xfId="0" applyNumberFormat="1" applyFont="1" applyAlignment="1">
      <alignment/>
    </xf>
    <xf numFmtId="4" fontId="4" fillId="0" borderId="0" xfId="0" applyNumberFormat="1" applyFont="1" applyAlignment="1">
      <alignment/>
    </xf>
    <xf numFmtId="4" fontId="64" fillId="0" borderId="0" xfId="0" applyNumberFormat="1"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4" fontId="0" fillId="0" borderId="0" xfId="0" applyNumberFormat="1" applyAlignment="1">
      <alignment/>
    </xf>
    <xf numFmtId="4" fontId="8" fillId="0" borderId="0" xfId="0" applyNumberFormat="1" applyFont="1" applyAlignment="1">
      <alignment/>
    </xf>
    <xf numFmtId="0" fontId="4" fillId="0" borderId="0" xfId="0" applyFont="1" applyAlignment="1">
      <alignment/>
    </xf>
    <xf numFmtId="4" fontId="4" fillId="0" borderId="10" xfId="0" applyNumberFormat="1" applyFont="1" applyBorder="1" applyAlignment="1">
      <alignment horizontal="center" vertical="center"/>
    </xf>
    <xf numFmtId="4" fontId="4" fillId="0" borderId="11" xfId="0" applyNumberFormat="1" applyFont="1" applyBorder="1" applyAlignment="1">
      <alignment horizontal="center" vertical="center"/>
    </xf>
    <xf numFmtId="4" fontId="4" fillId="0" borderId="12" xfId="0" applyNumberFormat="1" applyFont="1" applyBorder="1" applyAlignment="1">
      <alignment horizontal="center" vertical="center"/>
    </xf>
    <xf numFmtId="4" fontId="4" fillId="0" borderId="13"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5" xfId="0" applyNumberFormat="1" applyFont="1" applyBorder="1" applyAlignment="1">
      <alignment horizontal="center" vertical="center"/>
    </xf>
    <xf numFmtId="4" fontId="4" fillId="0" borderId="16"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19" xfId="0" applyNumberFormat="1" applyFont="1" applyBorder="1" applyAlignment="1">
      <alignment horizontal="center" vertical="center"/>
    </xf>
    <xf numFmtId="0" fontId="9" fillId="0" borderId="0" xfId="0" applyFont="1" applyAlignment="1">
      <alignment/>
    </xf>
    <xf numFmtId="0" fontId="4" fillId="0" borderId="0" xfId="0" applyFont="1" applyBorder="1" applyAlignment="1">
      <alignment horizontal="left"/>
    </xf>
    <xf numFmtId="4" fontId="4" fillId="0" borderId="0" xfId="0" applyNumberFormat="1" applyFont="1" applyBorder="1" applyAlignment="1">
      <alignment horizontal="right"/>
    </xf>
    <xf numFmtId="4" fontId="4" fillId="0" borderId="0" xfId="0" applyNumberFormat="1" applyFont="1" applyBorder="1" applyAlignment="1">
      <alignment/>
    </xf>
    <xf numFmtId="4" fontId="64" fillId="0" borderId="0" xfId="0" applyNumberFormat="1" applyFont="1" applyBorder="1" applyAlignment="1">
      <alignment/>
    </xf>
    <xf numFmtId="0" fontId="64"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4" fontId="9" fillId="0" borderId="20" xfId="0" applyNumberFormat="1" applyFont="1" applyFill="1" applyBorder="1" applyAlignment="1">
      <alignment horizontal="center"/>
    </xf>
    <xf numFmtId="0" fontId="4" fillId="0" borderId="21" xfId="0" applyFont="1" applyFill="1" applyBorder="1" applyAlignment="1" quotePrefix="1">
      <alignment horizontal="center"/>
    </xf>
    <xf numFmtId="4" fontId="4" fillId="0" borderId="14" xfId="0" applyNumberFormat="1" applyFont="1" applyFill="1" applyBorder="1" applyAlignment="1">
      <alignment horizontal="center"/>
    </xf>
    <xf numFmtId="4" fontId="4" fillId="0" borderId="22" xfId="0" applyNumberFormat="1" applyFont="1" applyFill="1" applyBorder="1" applyAlignment="1">
      <alignment horizontal="center"/>
    </xf>
    <xf numFmtId="4" fontId="4" fillId="0" borderId="17" xfId="0" applyNumberFormat="1" applyFont="1" applyFill="1" applyBorder="1" applyAlignment="1">
      <alignment horizontal="center"/>
    </xf>
    <xf numFmtId="0" fontId="4" fillId="0" borderId="23" xfId="0" applyFont="1" applyFill="1" applyBorder="1" applyAlignment="1" quotePrefix="1">
      <alignment horizontal="center"/>
    </xf>
    <xf numFmtId="4" fontId="4" fillId="0" borderId="14" xfId="42" applyNumberFormat="1" applyFont="1" applyFill="1" applyBorder="1" applyAlignment="1">
      <alignment horizontal="right"/>
    </xf>
    <xf numFmtId="4" fontId="4" fillId="0" borderId="14" xfId="0" applyNumberFormat="1" applyFont="1" applyFill="1" applyBorder="1" applyAlignment="1">
      <alignment horizontal="right"/>
    </xf>
    <xf numFmtId="4" fontId="4" fillId="0" borderId="22" xfId="0" applyNumberFormat="1" applyFont="1" applyFill="1" applyBorder="1" applyAlignment="1">
      <alignment horizontal="right"/>
    </xf>
    <xf numFmtId="0" fontId="4" fillId="0" borderId="24" xfId="0" applyFont="1" applyFill="1" applyBorder="1" applyAlignment="1">
      <alignment horizontal="center"/>
    </xf>
    <xf numFmtId="4" fontId="64" fillId="0" borderId="14" xfId="42" applyNumberFormat="1" applyFont="1" applyFill="1" applyBorder="1" applyAlignment="1">
      <alignment horizontal="right"/>
    </xf>
    <xf numFmtId="0" fontId="64" fillId="0" borderId="24" xfId="0" applyFont="1" applyFill="1" applyBorder="1" applyAlignment="1">
      <alignment/>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25" xfId="0" applyFont="1" applyFill="1" applyBorder="1" applyAlignment="1">
      <alignment horizontal="left" indent="1"/>
    </xf>
    <xf numFmtId="0" fontId="4" fillId="0" borderId="0" xfId="0" applyFont="1" applyFill="1" applyBorder="1" applyAlignment="1">
      <alignment horizontal="left"/>
    </xf>
    <xf numFmtId="0" fontId="5" fillId="0" borderId="25" xfId="0" applyFont="1" applyFill="1" applyBorder="1" applyAlignment="1">
      <alignment/>
    </xf>
    <xf numFmtId="4" fontId="64" fillId="0" borderId="26" xfId="0" applyNumberFormat="1" applyFont="1" applyFill="1" applyBorder="1" applyAlignment="1">
      <alignment/>
    </xf>
    <xf numFmtId="0" fontId="4" fillId="0" borderId="0" xfId="0" applyFont="1" applyFill="1" applyBorder="1" applyAlignment="1">
      <alignment horizontal="center"/>
    </xf>
    <xf numFmtId="4" fontId="64" fillId="0" borderId="27" xfId="0" applyNumberFormat="1" applyFont="1" applyFill="1" applyBorder="1" applyAlignment="1">
      <alignment/>
    </xf>
    <xf numFmtId="4" fontId="64" fillId="0" borderId="28" xfId="0" applyNumberFormat="1" applyFont="1" applyFill="1" applyBorder="1" applyAlignment="1">
      <alignment/>
    </xf>
    <xf numFmtId="4" fontId="64" fillId="0" borderId="29" xfId="0" applyNumberFormat="1" applyFont="1" applyFill="1" applyBorder="1" applyAlignment="1">
      <alignment/>
    </xf>
    <xf numFmtId="0" fontId="64" fillId="0" borderId="30" xfId="0" applyFont="1" applyFill="1" applyBorder="1" applyAlignment="1">
      <alignment horizontal="center"/>
    </xf>
    <xf numFmtId="0" fontId="4" fillId="0" borderId="31" xfId="0" applyFont="1" applyFill="1" applyBorder="1" applyAlignment="1">
      <alignment/>
    </xf>
    <xf numFmtId="0" fontId="4" fillId="0" borderId="31" xfId="0" applyFont="1" applyFill="1" applyBorder="1" applyAlignment="1">
      <alignment horizontal="center"/>
    </xf>
    <xf numFmtId="4" fontId="4" fillId="0" borderId="31" xfId="0" applyNumberFormat="1" applyFont="1" applyFill="1" applyBorder="1" applyAlignment="1">
      <alignment horizontal="right"/>
    </xf>
    <xf numFmtId="4" fontId="4" fillId="0" borderId="31" xfId="0" applyNumberFormat="1" applyFont="1" applyFill="1" applyBorder="1" applyAlignment="1">
      <alignment/>
    </xf>
    <xf numFmtId="4" fontId="64" fillId="0" borderId="31" xfId="0" applyNumberFormat="1" applyFont="1" applyFill="1" applyBorder="1" applyAlignment="1">
      <alignment/>
    </xf>
    <xf numFmtId="0" fontId="64" fillId="0" borderId="31" xfId="0" applyFont="1" applyFill="1" applyBorder="1" applyAlignment="1">
      <alignment/>
    </xf>
    <xf numFmtId="0" fontId="64" fillId="0" borderId="0" xfId="0" applyFont="1" applyFill="1" applyAlignment="1">
      <alignment/>
    </xf>
    <xf numFmtId="4" fontId="64" fillId="0" borderId="0" xfId="0" applyNumberFormat="1" applyFont="1" applyFill="1" applyAlignment="1">
      <alignment/>
    </xf>
    <xf numFmtId="4" fontId="4" fillId="0" borderId="0" xfId="0" applyNumberFormat="1" applyFont="1" applyFill="1" applyBorder="1" applyAlignment="1">
      <alignment horizontal="right"/>
    </xf>
    <xf numFmtId="4" fontId="4" fillId="0" borderId="0" xfId="0" applyNumberFormat="1" applyFont="1" applyFill="1" applyBorder="1" applyAlignment="1">
      <alignment/>
    </xf>
    <xf numFmtId="4" fontId="64" fillId="0" borderId="0" xfId="0" applyNumberFormat="1" applyFont="1" applyFill="1" applyBorder="1" applyAlignment="1">
      <alignment/>
    </xf>
    <xf numFmtId="0" fontId="64" fillId="0" borderId="0" xfId="0"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lignment horizontal="left"/>
    </xf>
    <xf numFmtId="4" fontId="4" fillId="0" borderId="0" xfId="42" applyNumberFormat="1" applyFont="1" applyFill="1" applyBorder="1" applyAlignment="1">
      <alignment horizontal="right"/>
    </xf>
    <xf numFmtId="0" fontId="4" fillId="0" borderId="0" xfId="0" applyFont="1" applyFill="1" applyBorder="1" applyAlignment="1">
      <alignment/>
    </xf>
    <xf numFmtId="4" fontId="64" fillId="0" borderId="0" xfId="42" applyNumberFormat="1" applyFont="1" applyFill="1" applyBorder="1" applyAlignment="1">
      <alignment/>
    </xf>
    <xf numFmtId="4" fontId="65" fillId="0" borderId="0" xfId="42" applyNumberFormat="1" applyFont="1" applyFill="1" applyBorder="1" applyAlignment="1">
      <alignment/>
    </xf>
    <xf numFmtId="4" fontId="64" fillId="0" borderId="32" xfId="42" applyNumberFormat="1" applyFont="1" applyFill="1" applyBorder="1" applyAlignment="1">
      <alignment/>
    </xf>
    <xf numFmtId="4" fontId="65" fillId="0" borderId="32" xfId="42" applyNumberFormat="1" applyFont="1" applyFill="1" applyBorder="1" applyAlignment="1">
      <alignment/>
    </xf>
    <xf numFmtId="0" fontId="5" fillId="0" borderId="0" xfId="0" applyFont="1" applyFill="1" applyBorder="1" applyAlignment="1">
      <alignment/>
    </xf>
    <xf numFmtId="4" fontId="4" fillId="0" borderId="32" xfId="0" applyNumberFormat="1" applyFont="1" applyFill="1" applyBorder="1" applyAlignment="1">
      <alignment horizontal="right"/>
    </xf>
    <xf numFmtId="4" fontId="64" fillId="0" borderId="0" xfId="0" applyNumberFormat="1" applyFont="1" applyFill="1" applyBorder="1" applyAlignment="1">
      <alignment wrapText="1"/>
    </xf>
    <xf numFmtId="4" fontId="65" fillId="0" borderId="0" xfId="0" applyNumberFormat="1" applyFont="1" applyAlignment="1">
      <alignment/>
    </xf>
    <xf numFmtId="4" fontId="10" fillId="0" borderId="0" xfId="0" applyNumberFormat="1" applyFont="1" applyFill="1" applyBorder="1" applyAlignment="1">
      <alignment horizontal="center" wrapText="1"/>
    </xf>
    <xf numFmtId="4" fontId="66" fillId="0" borderId="0" xfId="0" applyNumberFormat="1" applyFont="1" applyFill="1" applyAlignment="1">
      <alignment horizontal="center" wrapText="1"/>
    </xf>
    <xf numFmtId="0" fontId="64" fillId="0" borderId="0" xfId="0" applyFont="1" applyAlignment="1">
      <alignment horizontal="left" indent="1"/>
    </xf>
    <xf numFmtId="0" fontId="64" fillId="0" borderId="0" xfId="0" applyFont="1" applyAlignment="1">
      <alignment horizontal="left" indent="2"/>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xf>
    <xf numFmtId="43" fontId="47" fillId="0" borderId="0" xfId="42" applyFont="1" applyAlignment="1">
      <alignment/>
    </xf>
    <xf numFmtId="43" fontId="67" fillId="0" borderId="25" xfId="0" applyNumberFormat="1" applyFont="1" applyFill="1" applyBorder="1" applyAlignment="1">
      <alignment/>
    </xf>
    <xf numFmtId="43" fontId="67" fillId="0" borderId="14" xfId="0" applyNumberFormat="1" applyFont="1" applyFill="1" applyBorder="1" applyAlignment="1">
      <alignment/>
    </xf>
    <xf numFmtId="43" fontId="64" fillId="0" borderId="0" xfId="0" applyNumberFormat="1" applyFont="1" applyAlignment="1">
      <alignment/>
    </xf>
    <xf numFmtId="43" fontId="67" fillId="0" borderId="13" xfId="42" applyFont="1" applyFill="1" applyBorder="1" applyAlignment="1">
      <alignment/>
    </xf>
    <xf numFmtId="43" fontId="67" fillId="0" borderId="22" xfId="42" applyFont="1" applyFill="1" applyBorder="1" applyAlignment="1">
      <alignment/>
    </xf>
    <xf numFmtId="43" fontId="67" fillId="0" borderId="0" xfId="42" applyFont="1" applyFill="1" applyAlignment="1">
      <alignment/>
    </xf>
    <xf numFmtId="43" fontId="67" fillId="0" borderId="0" xfId="0" applyNumberFormat="1" applyFont="1" applyFill="1" applyAlignment="1">
      <alignment/>
    </xf>
    <xf numFmtId="0" fontId="68" fillId="0" borderId="0" xfId="0" applyFont="1" applyFill="1" applyAlignment="1">
      <alignment/>
    </xf>
    <xf numFmtId="0" fontId="68" fillId="0" borderId="0" xfId="0" applyFont="1" applyAlignment="1">
      <alignment/>
    </xf>
    <xf numFmtId="4" fontId="65" fillId="0" borderId="0" xfId="0" applyNumberFormat="1" applyFont="1" applyAlignment="1">
      <alignmen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xf>
    <xf numFmtId="4" fontId="65" fillId="33" borderId="0" xfId="42" applyNumberFormat="1" applyFont="1" applyFill="1" applyBorder="1" applyAlignment="1">
      <alignment/>
    </xf>
    <xf numFmtId="43" fontId="64" fillId="0" borderId="13" xfId="42" applyFont="1" applyFill="1" applyBorder="1" applyAlignment="1">
      <alignment/>
    </xf>
    <xf numFmtId="43" fontId="64" fillId="0" borderId="22" xfId="42" applyFont="1" applyFill="1" applyBorder="1" applyAlignment="1">
      <alignment/>
    </xf>
    <xf numFmtId="43" fontId="64" fillId="0" borderId="0" xfId="0" applyNumberFormat="1" applyFont="1" applyFill="1" applyAlignment="1">
      <alignment/>
    </xf>
    <xf numFmtId="43" fontId="64" fillId="0" borderId="0" xfId="42" applyFont="1" applyAlignment="1">
      <alignment/>
    </xf>
    <xf numFmtId="0" fontId="0" fillId="0" borderId="0" xfId="0" applyFont="1" applyAlignment="1">
      <alignment/>
    </xf>
    <xf numFmtId="0" fontId="69" fillId="0" borderId="0" xfId="0" applyFont="1" applyAlignment="1">
      <alignmen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xf>
    <xf numFmtId="43" fontId="0" fillId="0" borderId="0" xfId="42" applyFont="1" applyFill="1" applyAlignment="1">
      <alignment/>
    </xf>
    <xf numFmtId="0" fontId="69"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5" fillId="0" borderId="0" xfId="0" applyNumberFormat="1" applyFont="1" applyFill="1" applyAlignment="1">
      <alignment/>
    </xf>
    <xf numFmtId="4" fontId="4" fillId="0" borderId="0" xfId="0" applyNumberFormat="1" applyFont="1" applyFill="1" applyAlignment="1">
      <alignment/>
    </xf>
    <xf numFmtId="0" fontId="7" fillId="0" borderId="0" xfId="0" applyFont="1" applyFill="1" applyAlignment="1">
      <alignment/>
    </xf>
    <xf numFmtId="0" fontId="8" fillId="0" borderId="0" xfId="0" applyFont="1" applyFill="1" applyAlignment="1">
      <alignment/>
    </xf>
    <xf numFmtId="4" fontId="0" fillId="0" borderId="0" xfId="0" applyNumberFormat="1" applyFill="1" applyAlignment="1">
      <alignment/>
    </xf>
    <xf numFmtId="4" fontId="8" fillId="0" borderId="0" xfId="0" applyNumberFormat="1" applyFont="1" applyFill="1" applyAlignment="1">
      <alignment/>
    </xf>
    <xf numFmtId="4" fontId="4" fillId="0" borderId="1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4" fontId="4" fillId="0" borderId="15"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4" fontId="4" fillId="0" borderId="17"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4" fontId="4" fillId="0" borderId="19" xfId="0" applyNumberFormat="1" applyFont="1" applyFill="1" applyBorder="1" applyAlignment="1">
      <alignment horizontal="center" vertical="center"/>
    </xf>
    <xf numFmtId="4" fontId="65" fillId="0" borderId="0" xfId="0" applyNumberFormat="1" applyFont="1" applyFill="1" applyAlignment="1">
      <alignment/>
    </xf>
    <xf numFmtId="0" fontId="64" fillId="0" borderId="0" xfId="0" applyFont="1" applyFill="1" applyAlignment="1">
      <alignment horizontal="left" indent="1"/>
    </xf>
    <xf numFmtId="0" fontId="64" fillId="0" borderId="0" xfId="0" applyFont="1" applyFill="1" applyAlignment="1">
      <alignment horizontal="left" indent="2"/>
    </xf>
    <xf numFmtId="4" fontId="4" fillId="0" borderId="22" xfId="42" applyNumberFormat="1" applyFont="1" applyFill="1" applyBorder="1" applyAlignment="1">
      <alignment horizontal="right"/>
    </xf>
    <xf numFmtId="4" fontId="64" fillId="0" borderId="22" xfId="42" applyNumberFormat="1" applyFont="1" applyFill="1" applyBorder="1" applyAlignment="1">
      <alignment horizontal="right"/>
    </xf>
    <xf numFmtId="4" fontId="4" fillId="0" borderId="33" xfId="0" applyNumberFormat="1" applyFont="1" applyFill="1" applyBorder="1" applyAlignment="1">
      <alignment horizontal="center"/>
    </xf>
    <xf numFmtId="4" fontId="70" fillId="0" borderId="26" xfId="0" applyNumberFormat="1" applyFont="1" applyFill="1" applyBorder="1" applyAlignment="1">
      <alignment/>
    </xf>
    <xf numFmtId="43" fontId="67" fillId="0" borderId="0" xfId="0" applyNumberFormat="1" applyFont="1" applyFill="1" applyBorder="1" applyAlignment="1">
      <alignment/>
    </xf>
    <xf numFmtId="43" fontId="71" fillId="0" borderId="14" xfId="42" applyFont="1" applyFill="1" applyBorder="1" applyAlignment="1">
      <alignment/>
    </xf>
    <xf numFmtId="43" fontId="71" fillId="0" borderId="22" xfId="42" applyFont="1" applyFill="1" applyBorder="1" applyAlignment="1">
      <alignment/>
    </xf>
    <xf numFmtId="4" fontId="71" fillId="0" borderId="14" xfId="42" applyNumberFormat="1" applyFont="1" applyFill="1" applyBorder="1" applyAlignment="1">
      <alignment horizontal="right"/>
    </xf>
    <xf numFmtId="43" fontId="71" fillId="0" borderId="0" xfId="0" applyNumberFormat="1" applyFont="1" applyFill="1" applyAlignment="1">
      <alignment/>
    </xf>
    <xf numFmtId="4" fontId="71" fillId="0" borderId="22" xfId="42" applyNumberFormat="1" applyFont="1" applyFill="1" applyBorder="1" applyAlignment="1">
      <alignment horizontal="right"/>
    </xf>
    <xf numFmtId="4" fontId="71" fillId="0" borderId="34" xfId="42" applyNumberFormat="1" applyFont="1" applyFill="1" applyBorder="1" applyAlignment="1">
      <alignment horizontal="right"/>
    </xf>
    <xf numFmtId="43" fontId="71" fillId="0" borderId="14" xfId="0" applyNumberFormat="1" applyFont="1" applyFill="1" applyBorder="1" applyAlignment="1">
      <alignment/>
    </xf>
    <xf numFmtId="43" fontId="71" fillId="0" borderId="0" xfId="42" applyFont="1" applyFill="1" applyAlignment="1">
      <alignment/>
    </xf>
    <xf numFmtId="43" fontId="64" fillId="0" borderId="0" xfId="42" applyFont="1" applyFill="1" applyAlignment="1">
      <alignment/>
    </xf>
    <xf numFmtId="4" fontId="21" fillId="0" borderId="14" xfId="42" applyNumberFormat="1" applyFont="1" applyFill="1" applyBorder="1" applyAlignment="1">
      <alignment horizontal="right"/>
    </xf>
    <xf numFmtId="4" fontId="21" fillId="0" borderId="22" xfId="42" applyNumberFormat="1" applyFont="1" applyFill="1" applyBorder="1" applyAlignment="1">
      <alignment horizontal="right"/>
    </xf>
    <xf numFmtId="4" fontId="21" fillId="0" borderId="14" xfId="0" applyNumberFormat="1" applyFont="1" applyFill="1" applyBorder="1" applyAlignment="1">
      <alignment horizontal="right"/>
    </xf>
    <xf numFmtId="4" fontId="72" fillId="0" borderId="26" xfId="0" applyNumberFormat="1" applyFont="1" applyFill="1" applyBorder="1" applyAlignment="1">
      <alignment/>
    </xf>
    <xf numFmtId="4" fontId="47" fillId="0" borderId="27" xfId="0" applyNumberFormat="1" applyFont="1" applyFill="1" applyBorder="1" applyAlignment="1">
      <alignment/>
    </xf>
    <xf numFmtId="4" fontId="21" fillId="0" borderId="22" xfId="0" applyNumberFormat="1" applyFont="1" applyFill="1" applyBorder="1" applyAlignment="1">
      <alignment horizontal="right"/>
    </xf>
    <xf numFmtId="4" fontId="21" fillId="0" borderId="34" xfId="0" applyNumberFormat="1" applyFont="1" applyFill="1" applyBorder="1" applyAlignment="1">
      <alignment horizontal="righ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43" fontId="64" fillId="0" borderId="32" xfId="42" applyFont="1" applyFill="1" applyBorder="1" applyAlignment="1">
      <alignment/>
    </xf>
    <xf numFmtId="43" fontId="65" fillId="0" borderId="32" xfId="42" applyFont="1" applyFill="1" applyBorder="1" applyAlignment="1">
      <alignment/>
    </xf>
    <xf numFmtId="43" fontId="4" fillId="0" borderId="0" xfId="42" applyFont="1" applyFill="1" applyBorder="1" applyAlignment="1">
      <alignment horizontal="right"/>
    </xf>
    <xf numFmtId="43" fontId="65" fillId="0" borderId="0" xfId="42" applyFont="1" applyFill="1" applyBorder="1" applyAlignment="1">
      <alignment/>
    </xf>
    <xf numFmtId="43" fontId="64" fillId="0" borderId="0" xfId="42" applyFont="1" applyFill="1" applyBorder="1" applyAlignment="1">
      <alignmen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4" fontId="4" fillId="0" borderId="34" xfId="0" applyNumberFormat="1" applyFont="1" applyFill="1" applyBorder="1" applyAlignment="1">
      <alignment horizontal="right"/>
    </xf>
    <xf numFmtId="43" fontId="4" fillId="0" borderId="32" xfId="42" applyFont="1" applyFill="1" applyBorder="1" applyAlignment="1">
      <alignment horizontal="right"/>
    </xf>
    <xf numFmtId="43" fontId="4" fillId="0" borderId="0" xfId="42" applyFont="1" applyFill="1" applyBorder="1" applyAlignment="1">
      <alignmen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4" fontId="64" fillId="0" borderId="35" xfId="0" applyNumberFormat="1" applyFont="1" applyFill="1" applyBorder="1" applyAlignment="1">
      <alignment/>
    </xf>
    <xf numFmtId="4" fontId="64" fillId="0" borderId="32" xfId="0" applyNumberFormat="1" applyFont="1" applyFill="1" applyBorder="1" applyAlignment="1">
      <alignment/>
    </xf>
    <xf numFmtId="0" fontId="65" fillId="0" borderId="0" xfId="0" applyFont="1" applyFill="1" applyAlignment="1">
      <alignmen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0" fontId="4" fillId="0" borderId="25"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0" fontId="4" fillId="0" borderId="0" xfId="0" applyFont="1" applyFill="1" applyBorder="1" applyAlignment="1">
      <alignment horizontal="left"/>
    </xf>
    <xf numFmtId="4" fontId="64" fillId="0" borderId="0" xfId="0" applyNumberFormat="1" applyFont="1" applyFill="1" applyAlignment="1">
      <alignment horizontal="center"/>
    </xf>
    <xf numFmtId="4" fontId="23" fillId="0" borderId="14" xfId="42" applyNumberFormat="1" applyFont="1" applyFill="1" applyBorder="1" applyAlignment="1">
      <alignment horizontal="right"/>
    </xf>
    <xf numFmtId="4" fontId="23" fillId="0" borderId="22" xfId="42" applyNumberFormat="1" applyFont="1" applyFill="1" applyBorder="1" applyAlignment="1">
      <alignment horizontal="right"/>
    </xf>
    <xf numFmtId="4" fontId="23" fillId="0" borderId="14" xfId="0" applyNumberFormat="1" applyFont="1" applyFill="1" applyBorder="1" applyAlignment="1">
      <alignment horizontal="right"/>
    </xf>
    <xf numFmtId="4" fontId="23" fillId="0" borderId="22" xfId="0" applyNumberFormat="1" applyFont="1" applyFill="1" applyBorder="1" applyAlignment="1">
      <alignment horizontal="right"/>
    </xf>
    <xf numFmtId="0" fontId="23" fillId="0" borderId="24" xfId="0" applyFont="1" applyFill="1" applyBorder="1" applyAlignment="1">
      <alignment horizontal="center"/>
    </xf>
    <xf numFmtId="0" fontId="73" fillId="0" borderId="0" xfId="0" applyFont="1" applyFill="1" applyAlignment="1">
      <alignment/>
    </xf>
    <xf numFmtId="43" fontId="74" fillId="0" borderId="14" xfId="42" applyFont="1" applyFill="1" applyBorder="1" applyAlignment="1">
      <alignment/>
    </xf>
    <xf numFmtId="43" fontId="74" fillId="0" borderId="22" xfId="42" applyFont="1" applyFill="1" applyBorder="1" applyAlignment="1">
      <alignment/>
    </xf>
    <xf numFmtId="4" fontId="74" fillId="0" borderId="14" xfId="42" applyNumberFormat="1" applyFont="1" applyFill="1" applyBorder="1" applyAlignment="1">
      <alignment horizontal="right"/>
    </xf>
    <xf numFmtId="43" fontId="74" fillId="0" borderId="0" xfId="42" applyFont="1" applyFill="1" applyAlignment="1">
      <alignment/>
    </xf>
    <xf numFmtId="43" fontId="74" fillId="0" borderId="14" xfId="0" applyNumberFormat="1" applyFont="1" applyFill="1" applyBorder="1" applyAlignment="1">
      <alignment/>
    </xf>
    <xf numFmtId="4" fontId="73" fillId="0" borderId="22" xfId="42" applyNumberFormat="1" applyFont="1" applyFill="1" applyBorder="1" applyAlignment="1">
      <alignment horizontal="right"/>
    </xf>
    <xf numFmtId="4" fontId="73" fillId="0" borderId="14" xfId="42" applyNumberFormat="1" applyFont="1" applyFill="1" applyBorder="1" applyAlignment="1">
      <alignment horizontal="right"/>
    </xf>
    <xf numFmtId="0" fontId="73" fillId="0" borderId="24" xfId="0" applyFont="1" applyFill="1" applyBorder="1" applyAlignment="1">
      <alignment/>
    </xf>
    <xf numFmtId="43" fontId="74" fillId="0" borderId="0" xfId="0" applyNumberFormat="1" applyFont="1" applyFill="1" applyAlignment="1">
      <alignment/>
    </xf>
    <xf numFmtId="4" fontId="74" fillId="0" borderId="22" xfId="42" applyNumberFormat="1" applyFont="1" applyFill="1" applyBorder="1" applyAlignment="1">
      <alignment horizontal="right"/>
    </xf>
    <xf numFmtId="43" fontId="73" fillId="0" borderId="0" xfId="0" applyNumberFormat="1" applyFont="1" applyFill="1" applyBorder="1" applyAlignment="1">
      <alignment/>
    </xf>
    <xf numFmtId="43" fontId="73" fillId="0" borderId="14" xfId="0" applyNumberFormat="1" applyFont="1" applyFill="1" applyBorder="1" applyAlignment="1">
      <alignment/>
    </xf>
    <xf numFmtId="4" fontId="74" fillId="0" borderId="34" xfId="42" applyNumberFormat="1" applyFont="1" applyFill="1" applyBorder="1" applyAlignment="1">
      <alignment horizontal="right"/>
    </xf>
    <xf numFmtId="4" fontId="23" fillId="0" borderId="34" xfId="0" applyNumberFormat="1" applyFont="1" applyFill="1" applyBorder="1" applyAlignment="1">
      <alignment horizontal="right"/>
    </xf>
    <xf numFmtId="4" fontId="75" fillId="0" borderId="26" xfId="0" applyNumberFormat="1" applyFont="1" applyFill="1" applyBorder="1" applyAlignment="1">
      <alignment/>
    </xf>
    <xf numFmtId="4" fontId="23" fillId="0" borderId="0" xfId="0" applyNumberFormat="1" applyFont="1" applyFill="1" applyBorder="1" applyAlignment="1">
      <alignment horizontal="right"/>
    </xf>
    <xf numFmtId="43" fontId="23" fillId="0" borderId="0" xfId="42" applyFont="1" applyFill="1" applyBorder="1" applyAlignment="1">
      <alignment horizontal="right"/>
    </xf>
    <xf numFmtId="4" fontId="23" fillId="0" borderId="0" xfId="42" applyNumberFormat="1" applyFont="1" applyFill="1" applyBorder="1" applyAlignment="1">
      <alignment horizontal="right"/>
    </xf>
    <xf numFmtId="43" fontId="23" fillId="0" borderId="0" xfId="42" applyFont="1" applyFill="1" applyBorder="1" applyAlignment="1">
      <alignment/>
    </xf>
    <xf numFmtId="4" fontId="23" fillId="0" borderId="0" xfId="0" applyNumberFormat="1" applyFont="1" applyFill="1" applyBorder="1" applyAlignment="1">
      <alignment/>
    </xf>
    <xf numFmtId="4" fontId="23" fillId="0" borderId="32" xfId="0" applyNumberFormat="1" applyFont="1" applyFill="1" applyBorder="1" applyAlignment="1">
      <alignment horizontal="right"/>
    </xf>
    <xf numFmtId="43" fontId="23" fillId="0" borderId="32" xfId="42" applyFont="1" applyFill="1" applyBorder="1" applyAlignment="1">
      <alignment horizontal="right"/>
    </xf>
    <xf numFmtId="4" fontId="27" fillId="0" borderId="0" xfId="0" applyNumberFormat="1" applyFont="1" applyFill="1" applyBorder="1" applyAlignment="1">
      <alignment horizontal="center" wrapText="1"/>
    </xf>
    <xf numFmtId="4" fontId="76" fillId="0" borderId="0" xfId="0" applyNumberFormat="1" applyFont="1" applyFill="1" applyAlignment="1">
      <alignment horizontal="center" wrapText="1"/>
    </xf>
    <xf numFmtId="4" fontId="29" fillId="0" borderId="0" xfId="0" applyNumberFormat="1" applyFont="1" applyFill="1" applyBorder="1" applyAlignment="1">
      <alignment horizontal="left"/>
    </xf>
    <xf numFmtId="4" fontId="73" fillId="0" borderId="0" xfId="0" applyNumberFormat="1" applyFont="1" applyFill="1" applyBorder="1" applyAlignment="1">
      <alignment/>
    </xf>
    <xf numFmtId="43" fontId="73" fillId="0" borderId="0" xfId="42" applyFont="1" applyFill="1" applyBorder="1" applyAlignment="1">
      <alignment/>
    </xf>
    <xf numFmtId="4" fontId="73" fillId="0" borderId="0" xfId="42" applyNumberFormat="1" applyFont="1" applyFill="1" applyBorder="1" applyAlignment="1">
      <alignment/>
    </xf>
    <xf numFmtId="43" fontId="77" fillId="0" borderId="0" xfId="42" applyFont="1" applyFill="1" applyBorder="1" applyAlignment="1">
      <alignment/>
    </xf>
    <xf numFmtId="43" fontId="73" fillId="0" borderId="32" xfId="42" applyFont="1" applyFill="1" applyBorder="1" applyAlignment="1">
      <alignment/>
    </xf>
    <xf numFmtId="43" fontId="77" fillId="0" borderId="32" xfId="42" applyFont="1" applyFill="1" applyBorder="1" applyAlignment="1">
      <alignment/>
    </xf>
    <xf numFmtId="4" fontId="73" fillId="0" borderId="0" xfId="0" applyNumberFormat="1" applyFont="1" applyFill="1" applyBorder="1" applyAlignment="1">
      <alignment wrapText="1"/>
    </xf>
    <xf numFmtId="4" fontId="73" fillId="0" borderId="32" xfId="42" applyNumberFormat="1" applyFont="1" applyFill="1" applyBorder="1" applyAlignment="1">
      <alignment/>
    </xf>
    <xf numFmtId="4" fontId="73" fillId="0" borderId="0" xfId="0" applyNumberFormat="1" applyFont="1" applyFill="1" applyAlignment="1">
      <alignment/>
    </xf>
    <xf numFmtId="0" fontId="9" fillId="0" borderId="25" xfId="0" applyFont="1" applyFill="1" applyBorder="1" applyAlignment="1">
      <alignment horizontal="left"/>
    </xf>
    <xf numFmtId="0" fontId="9" fillId="0" borderId="0" xfId="0" applyFont="1" applyFill="1" applyBorder="1" applyAlignment="1" quotePrefix="1">
      <alignment horizontal="left"/>
    </xf>
    <xf numFmtId="0" fontId="4" fillId="0" borderId="25" xfId="0" applyFont="1" applyFill="1" applyBorder="1" applyAlignment="1">
      <alignment horizontal="left" indent="1"/>
    </xf>
    <xf numFmtId="0" fontId="4" fillId="0" borderId="0" xfId="0" applyFont="1" applyFill="1" applyBorder="1" applyAlignment="1">
      <alignment horizontal="left" indent="1"/>
    </xf>
    <xf numFmtId="0" fontId="4" fillId="0" borderId="25" xfId="0" applyFont="1" applyFill="1" applyBorder="1" applyAlignment="1">
      <alignment horizontal="left" indent="2"/>
    </xf>
    <xf numFmtId="0" fontId="4" fillId="0" borderId="0" xfId="0" applyFont="1" applyFill="1" applyBorder="1" applyAlignment="1">
      <alignment horizontal="left" indent="2"/>
    </xf>
    <xf numFmtId="4" fontId="64" fillId="0" borderId="0" xfId="0" applyNumberFormat="1" applyFont="1" applyFill="1" applyBorder="1" applyAlignment="1">
      <alignment horizontal="center" vertical="center" wrapText="1"/>
    </xf>
    <xf numFmtId="4" fontId="9" fillId="0" borderId="36" xfId="0" applyNumberFormat="1" applyFont="1" applyFill="1" applyBorder="1" applyAlignment="1" quotePrefix="1">
      <alignment horizontal="center"/>
    </xf>
    <xf numFmtId="4" fontId="9" fillId="0" borderId="37" xfId="0" applyNumberFormat="1" applyFont="1" applyFill="1" applyBorder="1" applyAlignment="1">
      <alignment horizontal="center"/>
    </xf>
    <xf numFmtId="4" fontId="9" fillId="0" borderId="38" xfId="0" applyNumberFormat="1" applyFont="1" applyFill="1" applyBorder="1" applyAlignment="1">
      <alignment horizontal="center"/>
    </xf>
    <xf numFmtId="4" fontId="64" fillId="0" borderId="39" xfId="0" applyNumberFormat="1" applyFont="1" applyFill="1" applyBorder="1" applyAlignment="1">
      <alignment horizontal="center"/>
    </xf>
    <xf numFmtId="4" fontId="65" fillId="0" borderId="35" xfId="0" applyNumberFormat="1" applyFont="1" applyFill="1" applyBorder="1" applyAlignment="1">
      <alignment horizontal="center"/>
    </xf>
    <xf numFmtId="0" fontId="9" fillId="0" borderId="40" xfId="0" applyFont="1" applyFill="1" applyBorder="1" applyAlignment="1" quotePrefix="1">
      <alignment horizontal="center"/>
    </xf>
    <xf numFmtId="0" fontId="9" fillId="0" borderId="41" xfId="0" applyFont="1" applyFill="1" applyBorder="1" applyAlignment="1">
      <alignment horizontal="center"/>
    </xf>
    <xf numFmtId="4" fontId="9" fillId="0" borderId="42" xfId="0" applyNumberFormat="1" applyFont="1" applyFill="1" applyBorder="1" applyAlignment="1">
      <alignment horizontal="center"/>
    </xf>
    <xf numFmtId="164" fontId="9" fillId="0" borderId="43" xfId="0" applyNumberFormat="1" applyFont="1" applyFill="1" applyBorder="1" applyAlignment="1" quotePrefix="1">
      <alignment horizontal="center"/>
    </xf>
    <xf numFmtId="164" fontId="9" fillId="0" borderId="37" xfId="0" applyNumberFormat="1" applyFont="1" applyFill="1" applyBorder="1" applyAlignment="1">
      <alignment horizontal="center"/>
    </xf>
    <xf numFmtId="164" fontId="9" fillId="0" borderId="42" xfId="0" applyNumberFormat="1" applyFont="1" applyFill="1" applyBorder="1" applyAlignment="1">
      <alignment horizontal="center"/>
    </xf>
    <xf numFmtId="165" fontId="9" fillId="0" borderId="43" xfId="0" applyNumberFormat="1" applyFont="1" applyFill="1" applyBorder="1" applyAlignment="1" quotePrefix="1">
      <alignment horizontal="center"/>
    </xf>
    <xf numFmtId="165" fontId="9" fillId="0" borderId="37" xfId="0" applyNumberFormat="1" applyFont="1" applyFill="1" applyBorder="1" applyAlignment="1">
      <alignment horizontal="center"/>
    </xf>
    <xf numFmtId="165" fontId="9" fillId="0" borderId="42" xfId="0" applyNumberFormat="1" applyFont="1" applyFill="1" applyBorder="1" applyAlignment="1">
      <alignment horizontal="center"/>
    </xf>
    <xf numFmtId="4" fontId="9" fillId="0" borderId="43" xfId="0" applyNumberFormat="1" applyFont="1" applyFill="1" applyBorder="1" applyAlignment="1" quotePrefix="1">
      <alignment horizontal="center"/>
    </xf>
    <xf numFmtId="4" fontId="70" fillId="0" borderId="0" xfId="0" applyNumberFormat="1" applyFont="1" applyFill="1" applyAlignment="1">
      <alignment horizontal="center"/>
    </xf>
    <xf numFmtId="0" fontId="4" fillId="0" borderId="0" xfId="0" applyFont="1" applyFill="1" applyAlignment="1">
      <alignment horizont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9" xfId="0" applyFont="1" applyFill="1" applyBorder="1" applyAlignment="1">
      <alignment horizontal="center" vertical="center"/>
    </xf>
    <xf numFmtId="4" fontId="4" fillId="0" borderId="44" xfId="0" applyNumberFormat="1" applyFont="1" applyFill="1" applyBorder="1" applyAlignment="1">
      <alignment horizontal="center" vertical="center"/>
    </xf>
    <xf numFmtId="4" fontId="4" fillId="0" borderId="31" xfId="0" applyNumberFormat="1" applyFont="1" applyFill="1" applyBorder="1" applyAlignment="1">
      <alignment horizontal="center" vertical="center"/>
    </xf>
    <xf numFmtId="4" fontId="4" fillId="0" borderId="45" xfId="0" applyNumberFormat="1" applyFont="1" applyFill="1" applyBorder="1" applyAlignment="1">
      <alignment horizontal="center" vertical="center"/>
    </xf>
    <xf numFmtId="4" fontId="4" fillId="0" borderId="25"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4" fontId="4" fillId="0" borderId="46" xfId="0" applyNumberFormat="1" applyFont="1" applyFill="1" applyBorder="1" applyAlignment="1">
      <alignment horizontal="center" vertical="center"/>
    </xf>
    <xf numFmtId="4" fontId="4" fillId="0" borderId="48" xfId="0" applyNumberFormat="1" applyFont="1" applyFill="1" applyBorder="1" applyAlignment="1">
      <alignment horizontal="center" vertical="center"/>
    </xf>
    <xf numFmtId="4" fontId="4" fillId="0" borderId="49" xfId="0" applyNumberFormat="1" applyFont="1" applyFill="1" applyBorder="1" applyAlignment="1">
      <alignment horizontal="center" vertical="center"/>
    </xf>
    <xf numFmtId="4" fontId="4" fillId="0" borderId="50" xfId="0" applyNumberFormat="1" applyFont="1" applyFill="1" applyBorder="1" applyAlignment="1">
      <alignment horizontal="center" vertical="center"/>
    </xf>
    <xf numFmtId="4" fontId="4" fillId="0" borderId="23" xfId="0" applyNumberFormat="1" applyFont="1" applyFill="1" applyBorder="1" applyAlignment="1">
      <alignment horizontal="center" vertical="center" wrapText="1"/>
    </xf>
    <xf numFmtId="4" fontId="4" fillId="0" borderId="24" xfId="0" applyNumberFormat="1" applyFont="1" applyFill="1" applyBorder="1" applyAlignment="1">
      <alignment horizontal="center" vertical="center" wrapText="1"/>
    </xf>
    <xf numFmtId="4" fontId="4" fillId="0" borderId="30" xfId="0" applyNumberFormat="1" applyFont="1" applyFill="1" applyBorder="1" applyAlignment="1">
      <alignment horizontal="center" vertical="center" wrapText="1"/>
    </xf>
    <xf numFmtId="4" fontId="4" fillId="0" borderId="51"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xf>
    <xf numFmtId="4" fontId="4" fillId="0" borderId="52"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54" xfId="0" applyNumberFormat="1" applyFont="1" applyFill="1" applyBorder="1" applyAlignment="1">
      <alignment horizontal="center" vertical="center"/>
    </xf>
    <xf numFmtId="4" fontId="4" fillId="0" borderId="55" xfId="0" applyNumberFormat="1" applyFont="1" applyFill="1" applyBorder="1" applyAlignment="1">
      <alignment horizontal="center" vertical="center"/>
    </xf>
    <xf numFmtId="4" fontId="73" fillId="0" borderId="0" xfId="0" applyNumberFormat="1" applyFont="1" applyFill="1" applyBorder="1" applyAlignment="1">
      <alignment horizontal="center" vertical="center" wrapText="1"/>
    </xf>
    <xf numFmtId="0" fontId="4" fillId="0" borderId="22" xfId="0" applyFont="1" applyFill="1" applyBorder="1" applyAlignment="1">
      <alignment horizontal="left" indent="1"/>
    </xf>
    <xf numFmtId="0" fontId="4" fillId="0" borderId="22" xfId="0" applyFont="1" applyFill="1" applyBorder="1" applyAlignment="1">
      <alignment horizontal="left" indent="2"/>
    </xf>
    <xf numFmtId="0" fontId="4" fillId="0" borderId="0" xfId="0" applyFont="1" applyAlignment="1">
      <alignment horizont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9" xfId="0" applyFont="1" applyBorder="1" applyAlignment="1">
      <alignment horizontal="center" vertical="center"/>
    </xf>
    <xf numFmtId="4" fontId="4" fillId="0" borderId="44" xfId="0" applyNumberFormat="1" applyFont="1" applyBorder="1" applyAlignment="1">
      <alignment horizontal="center" vertical="center"/>
    </xf>
    <xf numFmtId="4" fontId="4" fillId="0" borderId="31" xfId="0" applyNumberFormat="1" applyFont="1" applyBorder="1" applyAlignment="1">
      <alignment horizontal="center" vertical="center"/>
    </xf>
    <xf numFmtId="4" fontId="4" fillId="0" borderId="45" xfId="0" applyNumberFormat="1" applyFont="1" applyBorder="1" applyAlignment="1">
      <alignment horizontal="center" vertical="center"/>
    </xf>
    <xf numFmtId="4" fontId="4" fillId="0" borderId="25" xfId="0" applyNumberFormat="1" applyFont="1" applyBorder="1" applyAlignment="1">
      <alignment horizontal="center" vertical="center"/>
    </xf>
    <xf numFmtId="4" fontId="4" fillId="0" borderId="0" xfId="0" applyNumberFormat="1" applyFont="1" applyBorder="1" applyAlignment="1">
      <alignment horizontal="center" vertical="center"/>
    </xf>
    <xf numFmtId="4" fontId="4" fillId="0" borderId="46" xfId="0" applyNumberFormat="1" applyFont="1" applyBorder="1" applyAlignment="1">
      <alignment horizontal="center" vertical="center"/>
    </xf>
    <xf numFmtId="4" fontId="4" fillId="0" borderId="48" xfId="0" applyNumberFormat="1" applyFont="1" applyBorder="1" applyAlignment="1">
      <alignment horizontal="center" vertical="center"/>
    </xf>
    <xf numFmtId="4" fontId="4" fillId="0" borderId="49" xfId="0" applyNumberFormat="1" applyFont="1" applyBorder="1" applyAlignment="1">
      <alignment horizontal="center" vertical="center"/>
    </xf>
    <xf numFmtId="4" fontId="4" fillId="0" borderId="50" xfId="0" applyNumberFormat="1" applyFont="1" applyBorder="1" applyAlignment="1">
      <alignment horizontal="center" vertical="center"/>
    </xf>
    <xf numFmtId="4" fontId="4" fillId="0" borderId="23" xfId="0" applyNumberFormat="1" applyFont="1" applyBorder="1" applyAlignment="1">
      <alignment horizontal="center" vertical="center" wrapText="1"/>
    </xf>
    <xf numFmtId="4" fontId="4" fillId="0" borderId="24" xfId="0" applyNumberFormat="1" applyFont="1" applyBorder="1" applyAlignment="1">
      <alignment horizontal="center" vertical="center" wrapText="1"/>
    </xf>
    <xf numFmtId="4" fontId="4" fillId="0" borderId="30" xfId="0" applyNumberFormat="1" applyFont="1" applyBorder="1" applyAlignment="1">
      <alignment horizontal="center" vertical="center" wrapText="1"/>
    </xf>
    <xf numFmtId="4" fontId="4" fillId="0" borderId="51" xfId="0" applyNumberFormat="1" applyFont="1" applyBorder="1" applyAlignment="1">
      <alignment horizontal="center" vertical="center"/>
    </xf>
    <xf numFmtId="4" fontId="4" fillId="0" borderId="35" xfId="0" applyNumberFormat="1" applyFont="1" applyBorder="1" applyAlignment="1">
      <alignment horizontal="center" vertical="center"/>
    </xf>
    <xf numFmtId="4" fontId="4" fillId="0" borderId="52" xfId="0" applyNumberFormat="1"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4" fontId="4" fillId="0" borderId="53" xfId="0" applyNumberFormat="1" applyFont="1" applyBorder="1" applyAlignment="1">
      <alignment horizontal="center" vertical="center"/>
    </xf>
    <xf numFmtId="4" fontId="4" fillId="0" borderId="54" xfId="0" applyNumberFormat="1" applyFont="1" applyBorder="1" applyAlignment="1">
      <alignment horizontal="center" vertical="center"/>
    </xf>
    <xf numFmtId="4" fontId="4" fillId="0" borderId="55" xfId="0" applyNumberFormat="1" applyFont="1" applyBorder="1" applyAlignment="1">
      <alignment horizontal="center" vertical="center"/>
    </xf>
    <xf numFmtId="4" fontId="65" fillId="0" borderId="35" xfId="0" applyNumberFormat="1" applyFont="1" applyBorder="1" applyAlignment="1">
      <alignment horizontal="center"/>
    </xf>
    <xf numFmtId="4" fontId="64" fillId="0" borderId="39" xfId="0" applyNumberFormat="1" applyFont="1" applyBorder="1" applyAlignment="1">
      <alignment horizontal="center"/>
    </xf>
    <xf numFmtId="0" fontId="4" fillId="0" borderId="25" xfId="0" applyFont="1" applyFill="1" applyBorder="1" applyAlignment="1">
      <alignment horizontal="left"/>
    </xf>
    <xf numFmtId="0" fontId="4" fillId="0"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17"/>
  <sheetViews>
    <sheetView zoomScaleSheetLayoutView="85" zoomScalePageLayoutView="0" workbookViewId="0" topLeftCell="E10">
      <selection activeCell="N35" sqref="N35"/>
    </sheetView>
  </sheetViews>
  <sheetFormatPr defaultColWidth="11.00390625" defaultRowHeight="15.75"/>
  <cols>
    <col min="1" max="1" width="1.37890625" style="60" customWidth="1"/>
    <col min="2" max="2" width="26.125" style="60" customWidth="1"/>
    <col min="3" max="3" width="12.125" style="61" customWidth="1"/>
    <col min="4" max="4" width="15.375" style="61" customWidth="1"/>
    <col min="5" max="5" width="13.25390625" style="61" customWidth="1"/>
    <col min="6" max="6" width="12.375" style="61" customWidth="1"/>
    <col min="7" max="7" width="14.625" style="61" customWidth="1"/>
    <col min="8" max="8" width="11.625" style="61" customWidth="1"/>
    <col min="9" max="9" width="12.625" style="61" customWidth="1"/>
    <col min="10" max="10" width="10.625" style="61" customWidth="1"/>
    <col min="11" max="11" width="13.00390625" style="61" customWidth="1"/>
    <col min="12" max="12" width="14.625" style="61" customWidth="1"/>
    <col min="13" max="13" width="4.125" style="61" customWidth="1"/>
    <col min="14" max="14" width="13.125" style="61" customWidth="1"/>
    <col min="15" max="15" width="4.25390625" style="61" customWidth="1"/>
    <col min="16" max="16" width="14.25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0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123</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37">
        <f>C18+C19</f>
        <v>6349123.25</v>
      </c>
      <c r="D17" s="143">
        <f>D18+D19</f>
        <v>316964</v>
      </c>
      <c r="E17" s="37">
        <f>E18+E19</f>
        <v>0</v>
      </c>
      <c r="F17" s="37">
        <f>F18+F19</f>
        <v>0</v>
      </c>
      <c r="G17" s="38">
        <f>SUM(C17:F17)</f>
        <v>6666087.25</v>
      </c>
      <c r="H17" s="37">
        <f>H18+H19</f>
        <v>859436.6699999999</v>
      </c>
      <c r="I17" s="37">
        <f>I18+I19</f>
        <v>2431855.9</v>
      </c>
      <c r="J17" s="37">
        <f>J18+J19</f>
        <v>0</v>
      </c>
      <c r="K17" s="37">
        <f>K18+K19</f>
        <v>0</v>
      </c>
      <c r="L17" s="38">
        <f>SUM(H17:K17)</f>
        <v>3291292.57</v>
      </c>
      <c r="M17" s="143">
        <f>M18+M19</f>
        <v>0</v>
      </c>
      <c r="N17" s="157">
        <f>N18+N19</f>
        <v>0</v>
      </c>
      <c r="O17" s="37">
        <f>O18+O19</f>
        <v>0</v>
      </c>
      <c r="P17" s="157">
        <f>P18+P19</f>
        <v>0</v>
      </c>
      <c r="Q17" s="159">
        <f>SUM(M17:P17)</f>
        <v>0</v>
      </c>
      <c r="R17" s="39">
        <f>G17+L17+Q17</f>
        <v>9957379.82</v>
      </c>
      <c r="S17" s="37">
        <f>S18+S19</f>
        <v>0</v>
      </c>
      <c r="T17" s="37">
        <f>T18+T19</f>
        <v>0</v>
      </c>
      <c r="U17" s="37">
        <f>U18+U19</f>
        <v>0</v>
      </c>
      <c r="V17" s="37">
        <f>V18+V19</f>
        <v>0</v>
      </c>
      <c r="W17" s="38">
        <f>SUM(S17:V17)</f>
        <v>0</v>
      </c>
      <c r="X17" s="37">
        <f>X18+X19</f>
        <v>7208559.919999999</v>
      </c>
      <c r="Y17" s="37">
        <f>Y18+Y19</f>
        <v>2748819.9</v>
      </c>
      <c r="Z17" s="37">
        <f>Z18+Z19</f>
        <v>0</v>
      </c>
      <c r="AA17" s="37">
        <f>AA18+AA19</f>
        <v>0</v>
      </c>
      <c r="AB17" s="38">
        <f>SUM(X17:AA17)</f>
        <v>9957379.819999998</v>
      </c>
      <c r="AC17" s="40"/>
    </row>
    <row r="18" spans="1:31" ht="15.75">
      <c r="A18" s="252" t="s">
        <v>25</v>
      </c>
      <c r="B18" s="253"/>
      <c r="C18" s="148">
        <v>6009332.89</v>
      </c>
      <c r="D18" s="149">
        <v>316964</v>
      </c>
      <c r="E18" s="150"/>
      <c r="F18" s="150"/>
      <c r="G18" s="38">
        <f aca="true" t="shared" si="0" ref="G18:G24">SUM(C18:F18)</f>
        <v>6326296.89</v>
      </c>
      <c r="H18" s="155">
        <v>850406.1</v>
      </c>
      <c r="I18" s="148">
        <v>2108381.05</v>
      </c>
      <c r="J18" s="154"/>
      <c r="K18" s="154"/>
      <c r="L18" s="38">
        <f aca="true" t="shared" si="1" ref="L18:L24">SUM(H18:K18)</f>
        <v>2958787.15</v>
      </c>
      <c r="M18" s="144"/>
      <c r="N18" s="41"/>
      <c r="O18" s="41"/>
      <c r="P18" s="41"/>
      <c r="Q18" s="159">
        <f aca="true" t="shared" si="2" ref="Q18:Q24">SUM(M18:P18)</f>
        <v>0</v>
      </c>
      <c r="R18" s="39">
        <f aca="true" t="shared" si="3" ref="R18:R24">G18+L18+Q18</f>
        <v>9285084.04</v>
      </c>
      <c r="S18" s="41"/>
      <c r="T18" s="41"/>
      <c r="U18" s="41"/>
      <c r="V18" s="41"/>
      <c r="W18" s="159">
        <f aca="true" t="shared" si="4" ref="W18:W24">SUM(S18:V18)</f>
        <v>0</v>
      </c>
      <c r="X18" s="41">
        <f>C18+H18+M18+S18</f>
        <v>6859738.989999999</v>
      </c>
      <c r="Y18" s="41">
        <f aca="true" t="shared" si="5" ref="Y18:AA24">D18+I18+N18+T18</f>
        <v>2425345.05</v>
      </c>
      <c r="Z18" s="41">
        <f t="shared" si="5"/>
        <v>0</v>
      </c>
      <c r="AA18" s="41">
        <f t="shared" si="5"/>
        <v>0</v>
      </c>
      <c r="AB18" s="38">
        <f aca="true" t="shared" si="6" ref="AB18:AB24">SUM(X18:AA18)</f>
        <v>9285084.04</v>
      </c>
      <c r="AC18" s="42"/>
      <c r="AE18" s="128"/>
    </row>
    <row r="19" spans="1:29" ht="15.75">
      <c r="A19" s="204" t="s">
        <v>26</v>
      </c>
      <c r="B19" s="205"/>
      <c r="C19" s="150">
        <v>339790.36</v>
      </c>
      <c r="D19" s="151"/>
      <c r="E19" s="150"/>
      <c r="F19" s="150"/>
      <c r="G19" s="38">
        <f t="shared" si="0"/>
        <v>339790.36</v>
      </c>
      <c r="H19" s="150">
        <v>9030.57</v>
      </c>
      <c r="I19" s="151">
        <v>323474.85</v>
      </c>
      <c r="J19" s="150"/>
      <c r="K19" s="150"/>
      <c r="L19" s="38">
        <f t="shared" si="1"/>
        <v>332505.42</v>
      </c>
      <c r="M19" s="144"/>
      <c r="N19" s="41"/>
      <c r="O19" s="41"/>
      <c r="P19" s="41"/>
      <c r="Q19" s="159">
        <f t="shared" si="2"/>
        <v>0</v>
      </c>
      <c r="R19" s="39">
        <f t="shared" si="3"/>
        <v>672295.78</v>
      </c>
      <c r="S19" s="41"/>
      <c r="T19" s="41"/>
      <c r="U19" s="41"/>
      <c r="V19" s="41"/>
      <c r="W19" s="159">
        <f t="shared" si="4"/>
        <v>0</v>
      </c>
      <c r="X19" s="41">
        <f aca="true" t="shared" si="7" ref="X19:X24">C19+H19+M19+S19</f>
        <v>348820.93</v>
      </c>
      <c r="Y19" s="41">
        <f t="shared" si="5"/>
        <v>323474.85</v>
      </c>
      <c r="Z19" s="41">
        <f t="shared" si="5"/>
        <v>0</v>
      </c>
      <c r="AA19" s="41">
        <f t="shared" si="5"/>
        <v>0</v>
      </c>
      <c r="AB19" s="38">
        <f t="shared" si="6"/>
        <v>672295.78</v>
      </c>
      <c r="AC19" s="42"/>
    </row>
    <row r="20" spans="1:29" ht="15.75">
      <c r="A20" s="203" t="s">
        <v>27</v>
      </c>
      <c r="B20" s="205"/>
      <c r="C20" s="150"/>
      <c r="D20" s="152"/>
      <c r="E20" s="150"/>
      <c r="F20" s="150"/>
      <c r="G20" s="38">
        <f t="shared" si="0"/>
        <v>0</v>
      </c>
      <c r="H20" s="150"/>
      <c r="I20" s="150"/>
      <c r="J20" s="150"/>
      <c r="K20" s="150"/>
      <c r="L20" s="38">
        <f t="shared" si="1"/>
        <v>0</v>
      </c>
      <c r="M20" s="144"/>
      <c r="N20" s="41"/>
      <c r="O20" s="41"/>
      <c r="P20" s="41"/>
      <c r="Q20" s="159">
        <f t="shared" si="2"/>
        <v>0</v>
      </c>
      <c r="R20" s="39">
        <f t="shared" si="3"/>
        <v>0</v>
      </c>
      <c r="S20" s="41"/>
      <c r="T20" s="41"/>
      <c r="U20" s="41"/>
      <c r="V20" s="41"/>
      <c r="W20" s="159">
        <f t="shared" si="4"/>
        <v>0</v>
      </c>
      <c r="X20" s="41">
        <f t="shared" si="7"/>
        <v>0</v>
      </c>
      <c r="Y20" s="41">
        <f t="shared" si="5"/>
        <v>0</v>
      </c>
      <c r="Z20" s="41">
        <f t="shared" si="5"/>
        <v>0</v>
      </c>
      <c r="AA20" s="41">
        <f t="shared" si="5"/>
        <v>0</v>
      </c>
      <c r="AB20" s="38">
        <f t="shared" si="6"/>
        <v>0</v>
      </c>
      <c r="AC20" s="42"/>
    </row>
    <row r="21" spans="1:31" ht="15.75">
      <c r="A21" s="203" t="s">
        <v>28</v>
      </c>
      <c r="B21" s="206"/>
      <c r="C21" s="148">
        <v>676382.48</v>
      </c>
      <c r="D21" s="155"/>
      <c r="E21" s="148"/>
      <c r="F21" s="155"/>
      <c r="G21" s="38">
        <f t="shared" si="0"/>
        <v>676382.48</v>
      </c>
      <c r="H21" s="150"/>
      <c r="I21" s="155">
        <v>8950292.31</v>
      </c>
      <c r="J21" s="148"/>
      <c r="K21" s="155"/>
      <c r="L21" s="38">
        <f t="shared" si="1"/>
        <v>8950292.31</v>
      </c>
      <c r="M21" s="147"/>
      <c r="N21" s="87"/>
      <c r="O21" s="41"/>
      <c r="P21" s="41"/>
      <c r="Q21" s="159">
        <f t="shared" si="2"/>
        <v>0</v>
      </c>
      <c r="R21" s="39">
        <f t="shared" si="3"/>
        <v>9626674.790000001</v>
      </c>
      <c r="S21" s="41"/>
      <c r="T21" s="41"/>
      <c r="U21" s="41"/>
      <c r="V21" s="41"/>
      <c r="W21" s="159">
        <f t="shared" si="4"/>
        <v>0</v>
      </c>
      <c r="X21" s="41">
        <f t="shared" si="7"/>
        <v>676382.48</v>
      </c>
      <c r="Y21" s="41">
        <f t="shared" si="5"/>
        <v>8950292.31</v>
      </c>
      <c r="Z21" s="41">
        <f>E21+J21+O21+U21</f>
        <v>0</v>
      </c>
      <c r="AA21" s="41">
        <f t="shared" si="5"/>
        <v>0</v>
      </c>
      <c r="AB21" s="38">
        <f t="shared" si="6"/>
        <v>9626674.790000001</v>
      </c>
      <c r="AC21" s="42"/>
      <c r="AE21" s="128"/>
    </row>
    <row r="22" spans="1:29" ht="15.75">
      <c r="A22" s="203" t="s">
        <v>29</v>
      </c>
      <c r="B22" s="206"/>
      <c r="C22" s="150"/>
      <c r="D22" s="152"/>
      <c r="E22" s="150"/>
      <c r="F22" s="150"/>
      <c r="G22" s="38">
        <f t="shared" si="0"/>
        <v>0</v>
      </c>
      <c r="H22" s="150"/>
      <c r="I22" s="150"/>
      <c r="J22" s="150"/>
      <c r="K22" s="150"/>
      <c r="L22" s="38">
        <f t="shared" si="1"/>
        <v>0</v>
      </c>
      <c r="M22" s="144"/>
      <c r="N22" s="41"/>
      <c r="O22" s="41"/>
      <c r="P22" s="41"/>
      <c r="Q22" s="159">
        <f t="shared" si="2"/>
        <v>0</v>
      </c>
      <c r="R22" s="39">
        <f t="shared" si="3"/>
        <v>0</v>
      </c>
      <c r="S22" s="41"/>
      <c r="T22" s="41"/>
      <c r="U22" s="41"/>
      <c r="V22" s="41"/>
      <c r="W22" s="159">
        <f t="shared" si="4"/>
        <v>0</v>
      </c>
      <c r="X22" s="41">
        <f t="shared" si="7"/>
        <v>0</v>
      </c>
      <c r="Y22" s="41">
        <f t="shared" si="5"/>
        <v>0</v>
      </c>
      <c r="Z22" s="41">
        <f t="shared" si="5"/>
        <v>0</v>
      </c>
      <c r="AA22" s="41">
        <f t="shared" si="5"/>
        <v>0</v>
      </c>
      <c r="AB22" s="38">
        <f t="shared" si="6"/>
        <v>0</v>
      </c>
      <c r="AC22" s="42"/>
    </row>
    <row r="23" spans="1:29" ht="15.75">
      <c r="A23" s="203" t="s">
        <v>30</v>
      </c>
      <c r="B23" s="206"/>
      <c r="C23" s="150"/>
      <c r="D23" s="152"/>
      <c r="E23" s="150"/>
      <c r="F23" s="150"/>
      <c r="G23" s="38">
        <f t="shared" si="0"/>
        <v>0</v>
      </c>
      <c r="H23" s="150"/>
      <c r="I23" s="150"/>
      <c r="J23" s="150"/>
      <c r="K23" s="150"/>
      <c r="L23" s="38">
        <f t="shared" si="1"/>
        <v>0</v>
      </c>
      <c r="M23" s="144"/>
      <c r="N23" s="41"/>
      <c r="O23" s="41"/>
      <c r="P23" s="41"/>
      <c r="Q23" s="159">
        <f t="shared" si="2"/>
        <v>0</v>
      </c>
      <c r="R23" s="39">
        <f t="shared" si="3"/>
        <v>0</v>
      </c>
      <c r="S23" s="41"/>
      <c r="T23" s="41"/>
      <c r="U23" s="41"/>
      <c r="V23" s="41"/>
      <c r="W23" s="159">
        <f t="shared" si="4"/>
        <v>0</v>
      </c>
      <c r="X23" s="41">
        <f t="shared" si="7"/>
        <v>0</v>
      </c>
      <c r="Y23" s="41">
        <f t="shared" si="5"/>
        <v>0</v>
      </c>
      <c r="Z23" s="41">
        <f t="shared" si="5"/>
        <v>0</v>
      </c>
      <c r="AA23" s="41">
        <f t="shared" si="5"/>
        <v>0</v>
      </c>
      <c r="AB23" s="38">
        <f t="shared" si="6"/>
        <v>0</v>
      </c>
      <c r="AC23" s="42"/>
    </row>
    <row r="24" spans="1:29" ht="15.75">
      <c r="A24" s="203" t="s">
        <v>31</v>
      </c>
      <c r="B24" s="206"/>
      <c r="C24" s="153"/>
      <c r="D24" s="152"/>
      <c r="E24" s="150"/>
      <c r="F24" s="150"/>
      <c r="G24" s="38">
        <f t="shared" si="0"/>
        <v>0</v>
      </c>
      <c r="H24" s="150"/>
      <c r="I24" s="150"/>
      <c r="J24" s="150"/>
      <c r="K24" s="150"/>
      <c r="L24" s="177">
        <f t="shared" si="1"/>
        <v>0</v>
      </c>
      <c r="M24" s="144"/>
      <c r="N24" s="41"/>
      <c r="O24" s="41"/>
      <c r="P24" s="41"/>
      <c r="Q24" s="159">
        <f t="shared" si="2"/>
        <v>0</v>
      </c>
      <c r="R24" s="39">
        <f t="shared" si="3"/>
        <v>0</v>
      </c>
      <c r="S24" s="41"/>
      <c r="T24" s="41"/>
      <c r="U24" s="41"/>
      <c r="V24" s="41"/>
      <c r="W24" s="159">
        <f t="shared" si="4"/>
        <v>0</v>
      </c>
      <c r="X24" s="41">
        <f t="shared" si="7"/>
        <v>0</v>
      </c>
      <c r="Y24" s="41">
        <f t="shared" si="5"/>
        <v>0</v>
      </c>
      <c r="Z24" s="41">
        <f t="shared" si="5"/>
        <v>0</v>
      </c>
      <c r="AA24" s="41">
        <f t="shared" si="5"/>
        <v>0</v>
      </c>
      <c r="AB24" s="38">
        <f t="shared" si="6"/>
        <v>0</v>
      </c>
      <c r="AC24" s="42"/>
    </row>
    <row r="25" spans="1:29" ht="16.5" thickBot="1">
      <c r="A25" s="47"/>
      <c r="B25" s="206" t="s">
        <v>32</v>
      </c>
      <c r="C25" s="146">
        <f>C17+C21+C22+C24+C20+C23</f>
        <v>7025505.73</v>
      </c>
      <c r="D25" s="146">
        <f>D17+D21+D22+D24+D20+D23</f>
        <v>316964</v>
      </c>
      <c r="E25" s="146">
        <f>E17+E21+E22+E24+E20+E23</f>
        <v>0</v>
      </c>
      <c r="F25" s="146">
        <f>F17+F21+F22+F24+F20+F23</f>
        <v>0</v>
      </c>
      <c r="G25" s="146">
        <f>G17+G21+G22+G24+G20+G23</f>
        <v>7342469.73</v>
      </c>
      <c r="H25" s="146">
        <f>H17+H21+H22+H24+H20+H23</f>
        <v>859436.6699999999</v>
      </c>
      <c r="I25" s="146">
        <f>I17+I21+I22+I24+I20+I23</f>
        <v>11382148.21</v>
      </c>
      <c r="J25" s="146">
        <f>J17+J21+J22+J24+J20+J23</f>
        <v>0</v>
      </c>
      <c r="K25" s="146">
        <f>K17+K21+K22+K24+K20+K23</f>
        <v>0</v>
      </c>
      <c r="L25" s="146">
        <f>L17+L21+L22+L24+L20+L23</f>
        <v>12241584.88</v>
      </c>
      <c r="M25" s="146">
        <f>M17+M21+M22+M24+M20+M23</f>
        <v>0</v>
      </c>
      <c r="N25" s="160">
        <f>N17+N21+N22+N24+N20+N23</f>
        <v>0</v>
      </c>
      <c r="O25" s="146">
        <f>O17+O21+O22+O24+O20+O23</f>
        <v>0</v>
      </c>
      <c r="P25" s="160">
        <f>P17+P21+P22+P24+P20+P23</f>
        <v>0</v>
      </c>
      <c r="Q25" s="160">
        <f>Q17+Q21+Q22+Q24+Q20+Q23</f>
        <v>0</v>
      </c>
      <c r="R25" s="146">
        <f>R17+R21+R22+R24</f>
        <v>19584054.61</v>
      </c>
      <c r="S25" s="146">
        <f>S17+S21+S22+S24+S20+S23</f>
        <v>0</v>
      </c>
      <c r="T25" s="146">
        <f>T17+T21+T22+T24+T20+T23</f>
        <v>0</v>
      </c>
      <c r="U25" s="146">
        <f>U17+U21+U22+U24+U20+U23</f>
        <v>0</v>
      </c>
      <c r="V25" s="146">
        <f>V17+V21+V22+V24+V20+V23</f>
        <v>0</v>
      </c>
      <c r="W25" s="146">
        <f>W17+W21+W22+W24+W20+W23</f>
        <v>0</v>
      </c>
      <c r="X25" s="146">
        <f>X17+X21+X22+X24+X20+X23</f>
        <v>7884942.3999999985</v>
      </c>
      <c r="Y25" s="146">
        <f>Y17+Y21+Y22+Y24+Y20+Y23</f>
        <v>11699112.21</v>
      </c>
      <c r="Z25" s="146">
        <f>Z17+Z21+Z22+Z24+Z20+Z23</f>
        <v>0</v>
      </c>
      <c r="AA25" s="146">
        <f>AA17+AA21+AA22+AA24+AA20+AA23</f>
        <v>0</v>
      </c>
      <c r="AB25" s="146">
        <f>AB17+AB21+AB22+AB24+AB20+AB23</f>
        <v>19584054.61</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206" t="s">
        <v>33</v>
      </c>
      <c r="H28" s="62"/>
      <c r="I28" s="62"/>
      <c r="J28" s="62"/>
      <c r="K28" s="62"/>
      <c r="L28" s="63"/>
      <c r="M28" s="63"/>
      <c r="N28" s="63"/>
      <c r="O28" s="63"/>
      <c r="P28" s="63"/>
      <c r="Q28" s="63"/>
      <c r="R28" s="63"/>
      <c r="S28" s="64"/>
      <c r="AC28" s="65"/>
    </row>
    <row r="29" spans="1:29" ht="26.25">
      <c r="A29" s="206"/>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170">
        <f>SUM(D31:D36)</f>
        <v>0</v>
      </c>
      <c r="E30" s="170">
        <f>SUM(E31:E36)</f>
        <v>33522336.79</v>
      </c>
      <c r="F30" s="62"/>
      <c r="G30" s="170">
        <f>SUM(G31:G36)</f>
        <v>33522336.79</v>
      </c>
      <c r="H30" s="62"/>
      <c r="I30" s="254" t="s">
        <v>52</v>
      </c>
      <c r="J30" s="67" t="s">
        <v>38</v>
      </c>
      <c r="K30" s="62"/>
      <c r="L30" s="170"/>
      <c r="M30" s="68"/>
      <c r="N30" s="68">
        <f>N34+N42</f>
        <v>23895662</v>
      </c>
      <c r="O30" s="68"/>
      <c r="P30" s="170">
        <f>L30+N30</f>
        <v>23895662</v>
      </c>
      <c r="AC30" s="65"/>
    </row>
    <row r="31" spans="1:29" ht="15.75">
      <c r="A31" s="69"/>
      <c r="B31" s="66" t="s">
        <v>39</v>
      </c>
      <c r="C31" s="68"/>
      <c r="D31" s="170"/>
      <c r="E31" s="170">
        <f>23346000+549662</f>
        <v>23895662</v>
      </c>
      <c r="F31" s="62"/>
      <c r="G31" s="179">
        <f>C31+E31+D31</f>
        <v>23895662</v>
      </c>
      <c r="H31" s="62"/>
      <c r="I31" s="254"/>
      <c r="J31" s="64" t="s">
        <v>40</v>
      </c>
      <c r="K31" s="62"/>
      <c r="L31" s="172"/>
      <c r="M31" s="70"/>
      <c r="N31" s="70">
        <f>+N35+N39+N43</f>
        <v>19584054.61</v>
      </c>
      <c r="O31" s="70"/>
      <c r="P31" s="171">
        <f>L31+N31</f>
        <v>19584054.61</v>
      </c>
      <c r="AC31" s="65"/>
    </row>
    <row r="32" spans="1:29" ht="16.5" thickBot="1">
      <c r="A32" s="69"/>
      <c r="B32" s="66" t="s">
        <v>67</v>
      </c>
      <c r="C32" s="62"/>
      <c r="D32" s="170"/>
      <c r="E32" s="170"/>
      <c r="F32" s="62"/>
      <c r="G32" s="63">
        <f aca="true" t="shared" si="8" ref="G32:G38">C32+E32+D32</f>
        <v>0</v>
      </c>
      <c r="H32" s="62"/>
      <c r="I32" s="254"/>
      <c r="J32" s="64" t="s">
        <v>41</v>
      </c>
      <c r="K32" s="62"/>
      <c r="L32" s="168">
        <f>L30-L31</f>
        <v>0</v>
      </c>
      <c r="M32" s="70"/>
      <c r="N32" s="168">
        <f>N30-N31</f>
        <v>4311607.390000001</v>
      </c>
      <c r="O32" s="70"/>
      <c r="P32" s="169">
        <f>P30-P31</f>
        <v>4311607.390000001</v>
      </c>
      <c r="AC32" s="65"/>
    </row>
    <row r="33" spans="1:29" ht="16.5" thickTop="1">
      <c r="A33" s="69"/>
      <c r="B33" s="66" t="s">
        <v>42</v>
      </c>
      <c r="C33" s="62"/>
      <c r="D33" s="170"/>
      <c r="E33" s="170">
        <f>+AB21</f>
        <v>9626674.790000001</v>
      </c>
      <c r="F33" s="62"/>
      <c r="G33" s="179">
        <f t="shared" si="8"/>
        <v>9626674.790000001</v>
      </c>
      <c r="H33" s="62"/>
      <c r="I33" s="76"/>
      <c r="J33" s="64"/>
      <c r="K33" s="62"/>
      <c r="L33" s="172"/>
      <c r="M33" s="64"/>
      <c r="N33" s="64"/>
      <c r="O33" s="64"/>
      <c r="P33" s="172"/>
      <c r="R33" s="140" t="s">
        <v>58</v>
      </c>
      <c r="X33" s="140" t="s">
        <v>60</v>
      </c>
      <c r="AC33" s="65"/>
    </row>
    <row r="34" spans="1:29" ht="15" customHeight="1">
      <c r="A34" s="69"/>
      <c r="B34" s="66" t="s">
        <v>43</v>
      </c>
      <c r="C34" s="62"/>
      <c r="D34" s="62"/>
      <c r="E34" s="170"/>
      <c r="F34" s="62"/>
      <c r="G34" s="63">
        <f t="shared" si="8"/>
        <v>0</v>
      </c>
      <c r="H34" s="62"/>
      <c r="I34" s="254" t="s">
        <v>53</v>
      </c>
      <c r="J34" s="67" t="s">
        <v>38</v>
      </c>
      <c r="K34" s="62"/>
      <c r="L34" s="170"/>
      <c r="M34" s="68"/>
      <c r="N34" s="68">
        <f>14071000+549662</f>
        <v>14620662</v>
      </c>
      <c r="O34" s="68"/>
      <c r="P34" s="170">
        <f>L34+N34</f>
        <v>14620662</v>
      </c>
      <c r="AC34" s="65"/>
    </row>
    <row r="35" spans="1:29" ht="15.75">
      <c r="A35" s="69"/>
      <c r="B35" s="66" t="s">
        <v>44</v>
      </c>
      <c r="C35" s="62"/>
      <c r="D35" s="62"/>
      <c r="E35" s="62"/>
      <c r="F35" s="62"/>
      <c r="G35" s="63">
        <f t="shared" si="8"/>
        <v>0</v>
      </c>
      <c r="H35" s="62"/>
      <c r="I35" s="254"/>
      <c r="J35" s="64" t="s">
        <v>40</v>
      </c>
      <c r="K35" s="62"/>
      <c r="L35" s="172"/>
      <c r="M35" s="70"/>
      <c r="N35" s="70">
        <f>+G25</f>
        <v>7342469.73</v>
      </c>
      <c r="O35" s="70"/>
      <c r="P35" s="171">
        <f>L35+N35</f>
        <v>7342469.73</v>
      </c>
      <c r="AC35" s="65"/>
    </row>
    <row r="36" spans="1:29" ht="16.5" thickBot="1">
      <c r="A36" s="69"/>
      <c r="B36" s="66" t="s">
        <v>45</v>
      </c>
      <c r="C36" s="62"/>
      <c r="D36" s="62"/>
      <c r="E36" s="62"/>
      <c r="F36" s="62"/>
      <c r="G36" s="63">
        <f t="shared" si="8"/>
        <v>0</v>
      </c>
      <c r="H36" s="62"/>
      <c r="I36" s="254"/>
      <c r="J36" s="64" t="s">
        <v>41</v>
      </c>
      <c r="K36" s="62"/>
      <c r="L36" s="168">
        <f>L34-L35</f>
        <v>0</v>
      </c>
      <c r="M36" s="70"/>
      <c r="N36" s="72">
        <f>N34-N35</f>
        <v>7278192.27</v>
      </c>
      <c r="O36" s="70"/>
      <c r="P36" s="169">
        <f>P34-P35</f>
        <v>7278192.27</v>
      </c>
      <c r="AC36" s="65"/>
    </row>
    <row r="37" spans="1:29" ht="16.5" thickTop="1">
      <c r="A37" s="74" t="s">
        <v>46</v>
      </c>
      <c r="B37" s="66"/>
      <c r="C37" s="62"/>
      <c r="D37" s="62"/>
      <c r="E37" s="62"/>
      <c r="F37" s="62"/>
      <c r="G37" s="63">
        <f t="shared" si="8"/>
        <v>0</v>
      </c>
      <c r="H37" s="62"/>
      <c r="I37" s="76"/>
      <c r="J37" s="64"/>
      <c r="K37" s="62"/>
      <c r="L37" s="172"/>
      <c r="M37" s="64"/>
      <c r="N37" s="64"/>
      <c r="O37" s="64"/>
      <c r="P37" s="172"/>
      <c r="R37" s="140" t="s">
        <v>81</v>
      </c>
      <c r="X37" s="259" t="s">
        <v>90</v>
      </c>
      <c r="Y37" s="259"/>
      <c r="AB37" s="64"/>
      <c r="AC37" s="65"/>
    </row>
    <row r="38" spans="1:29" ht="15" customHeight="1">
      <c r="A38" s="74" t="s">
        <v>47</v>
      </c>
      <c r="B38" s="66"/>
      <c r="C38" s="62"/>
      <c r="D38" s="62"/>
      <c r="E38" s="62"/>
      <c r="F38" s="62"/>
      <c r="G38" s="63">
        <f t="shared" si="8"/>
        <v>0</v>
      </c>
      <c r="H38" s="62"/>
      <c r="I38" s="254" t="s">
        <v>54</v>
      </c>
      <c r="J38" s="67" t="s">
        <v>38</v>
      </c>
      <c r="K38" s="62"/>
      <c r="L38" s="170"/>
      <c r="M38" s="68"/>
      <c r="N38" s="68"/>
      <c r="O38" s="68"/>
      <c r="P38" s="170">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f>+O25</f>
        <v>0</v>
      </c>
      <c r="M39" s="70"/>
      <c r="N39" s="70">
        <f>+Q25</f>
        <v>0</v>
      </c>
      <c r="O39" s="70"/>
      <c r="P39" s="70">
        <f>+S25</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2">
        <f>P38-P39</f>
        <v>0</v>
      </c>
      <c r="AB40" s="64"/>
      <c r="AC40" s="65"/>
    </row>
    <row r="41" spans="1:29" ht="16.5" thickTop="1">
      <c r="A41" s="66" t="s">
        <v>48</v>
      </c>
      <c r="B41" s="66"/>
      <c r="C41" s="62">
        <f>C30-C37+C38-C39+C40</f>
        <v>0</v>
      </c>
      <c r="D41" s="170">
        <f>D30-D37+D38-D39+D40</f>
        <v>0</v>
      </c>
      <c r="E41" s="170">
        <f>E30-E37+E38-E39+E40</f>
        <v>33522336.79</v>
      </c>
      <c r="F41" s="62"/>
      <c r="G41" s="170">
        <f>G30-G37+G38-G39+G40</f>
        <v>33522336.79</v>
      </c>
      <c r="H41" s="62"/>
      <c r="I41" s="76"/>
      <c r="J41" s="64"/>
      <c r="K41" s="62"/>
      <c r="L41" s="172"/>
      <c r="M41" s="64"/>
      <c r="N41" s="64"/>
      <c r="O41" s="64"/>
      <c r="P41" s="172"/>
      <c r="AB41" s="64"/>
      <c r="AC41" s="65"/>
    </row>
    <row r="42" spans="1:29" ht="15" customHeight="1">
      <c r="A42" s="74" t="s">
        <v>51</v>
      </c>
      <c r="B42" s="66"/>
      <c r="C42" s="62"/>
      <c r="D42" s="170">
        <v>0</v>
      </c>
      <c r="E42" s="170"/>
      <c r="F42" s="62"/>
      <c r="G42" s="179">
        <f>C42+E42+D42</f>
        <v>0</v>
      </c>
      <c r="H42" s="62"/>
      <c r="I42" s="254" t="s">
        <v>55</v>
      </c>
      <c r="J42" s="67" t="s">
        <v>38</v>
      </c>
      <c r="K42" s="62"/>
      <c r="L42" s="170"/>
      <c r="M42" s="68"/>
      <c r="N42" s="68">
        <v>9275000</v>
      </c>
      <c r="O42" s="68"/>
      <c r="P42" s="170">
        <f>L42+N42</f>
        <v>9275000</v>
      </c>
      <c r="AB42" s="64"/>
      <c r="AC42" s="65"/>
    </row>
    <row r="43" spans="1:29" ht="15.75">
      <c r="A43" s="69"/>
      <c r="B43" s="66" t="s">
        <v>49</v>
      </c>
      <c r="C43" s="62"/>
      <c r="D43" s="170">
        <v>0</v>
      </c>
      <c r="E43" s="170">
        <f>AB25</f>
        <v>19584054.61</v>
      </c>
      <c r="F43" s="62"/>
      <c r="G43" s="179">
        <f>C43+E43+D43</f>
        <v>19584054.61</v>
      </c>
      <c r="H43" s="62"/>
      <c r="I43" s="254"/>
      <c r="J43" s="64" t="s">
        <v>40</v>
      </c>
      <c r="K43" s="62"/>
      <c r="L43" s="172"/>
      <c r="M43" s="70"/>
      <c r="N43" s="70">
        <f>+L25</f>
        <v>12241584.88</v>
      </c>
      <c r="O43" s="70"/>
      <c r="P43" s="171">
        <f>L43+N43</f>
        <v>12241584.88</v>
      </c>
      <c r="AB43" s="64"/>
      <c r="AC43" s="65"/>
    </row>
    <row r="44" spans="1:29" ht="16.5" thickBot="1">
      <c r="A44" s="74" t="s">
        <v>50</v>
      </c>
      <c r="B44" s="49"/>
      <c r="C44" s="75">
        <f>C41-C42-C43</f>
        <v>0</v>
      </c>
      <c r="D44" s="75">
        <f>D41-D42-D43</f>
        <v>0</v>
      </c>
      <c r="E44" s="178">
        <f>E41-E42-E43</f>
        <v>13938282.18</v>
      </c>
      <c r="F44" s="62"/>
      <c r="G44" s="75">
        <f>G41-G42-G43</f>
        <v>13938282.18</v>
      </c>
      <c r="H44" s="62"/>
      <c r="I44" s="254"/>
      <c r="J44" s="64" t="s">
        <v>41</v>
      </c>
      <c r="K44" s="62"/>
      <c r="L44" s="168">
        <f>L42-L43</f>
        <v>0</v>
      </c>
      <c r="M44" s="70"/>
      <c r="N44" s="168">
        <f>N42-N43</f>
        <v>-2966584.880000001</v>
      </c>
      <c r="O44" s="70"/>
      <c r="P44" s="169">
        <f>P42-P43</f>
        <v>-2966584.880000001</v>
      </c>
      <c r="AB44" s="64"/>
      <c r="AC44" s="65"/>
    </row>
    <row r="45" spans="1:7" ht="16.5" thickTop="1">
      <c r="A45" s="69"/>
      <c r="B45" s="49"/>
      <c r="C45" s="62"/>
      <c r="D45" s="62"/>
      <c r="E45" s="62"/>
      <c r="F45" s="62"/>
      <c r="G45" s="63"/>
    </row>
    <row r="46" spans="1:7" ht="15.75">
      <c r="A46" s="69"/>
      <c r="B46" s="206"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row r="56" spans="2:4" ht="15.75">
      <c r="B56" s="190" t="s">
        <v>109</v>
      </c>
      <c r="D56" s="207" t="s">
        <v>126</v>
      </c>
    </row>
    <row r="57" spans="2:4" ht="15.75">
      <c r="B57" s="60" t="s">
        <v>124</v>
      </c>
      <c r="C57" s="61">
        <v>23346000</v>
      </c>
      <c r="D57" s="61">
        <v>13388620.18</v>
      </c>
    </row>
    <row r="58" spans="2:4" ht="15.75">
      <c r="B58" s="60" t="s">
        <v>125</v>
      </c>
      <c r="C58" s="188">
        <v>549662</v>
      </c>
      <c r="D58" s="188">
        <v>549662</v>
      </c>
    </row>
    <row r="59" spans="3:4" ht="16.5" thickBot="1">
      <c r="C59" s="189">
        <f>+C57+C58</f>
        <v>23895662</v>
      </c>
      <c r="D59" s="189">
        <f>+D57+D58</f>
        <v>13938282.18</v>
      </c>
    </row>
    <row r="60" ht="16.5" thickTop="1"/>
    <row r="61" spans="1:12" ht="15.75">
      <c r="A61" s="65"/>
      <c r="B61" s="65"/>
      <c r="C61" s="64"/>
      <c r="D61" s="64"/>
      <c r="E61" s="64"/>
      <c r="F61" s="64"/>
      <c r="G61" s="64"/>
      <c r="H61" s="64"/>
      <c r="I61" s="64"/>
      <c r="J61" s="64"/>
      <c r="K61" s="64"/>
      <c r="L61" s="64"/>
    </row>
    <row r="62" spans="1:12" ht="15.75">
      <c r="A62" s="65"/>
      <c r="B62" s="65"/>
      <c r="C62" s="64"/>
      <c r="D62" s="64"/>
      <c r="E62" s="64"/>
      <c r="F62" s="64"/>
      <c r="G62" s="64"/>
      <c r="H62" s="64"/>
      <c r="I62" s="64"/>
      <c r="J62" s="64"/>
      <c r="K62" s="64"/>
      <c r="L62" s="64"/>
    </row>
    <row r="63" spans="1:12" ht="15.75">
      <c r="A63" s="65"/>
      <c r="B63" s="172"/>
      <c r="C63" s="64"/>
      <c r="D63" s="64"/>
      <c r="E63" s="64"/>
      <c r="F63" s="64"/>
      <c r="G63" s="64"/>
      <c r="H63" s="64"/>
      <c r="I63" s="64"/>
      <c r="J63" s="64"/>
      <c r="K63" s="64"/>
      <c r="L63" s="64"/>
    </row>
    <row r="64" spans="1:12" ht="15.75">
      <c r="A64" s="65"/>
      <c r="B64" s="172"/>
      <c r="C64" s="64"/>
      <c r="D64" s="64"/>
      <c r="E64" s="64"/>
      <c r="F64" s="64"/>
      <c r="G64" s="64"/>
      <c r="H64" s="64"/>
      <c r="I64" s="64"/>
      <c r="J64" s="64"/>
      <c r="K64" s="64"/>
      <c r="L64" s="64"/>
    </row>
    <row r="65" spans="1:12" ht="15.75">
      <c r="A65" s="65"/>
      <c r="B65" s="172"/>
      <c r="C65" s="64"/>
      <c r="D65" s="64"/>
      <c r="E65" s="64"/>
      <c r="F65" s="64"/>
      <c r="G65" s="64"/>
      <c r="H65" s="64"/>
      <c r="I65" s="64"/>
      <c r="J65" s="64"/>
      <c r="K65" s="64"/>
      <c r="L65" s="64"/>
    </row>
    <row r="66" spans="1:12" ht="15.75">
      <c r="A66" s="65"/>
      <c r="B66" s="172"/>
      <c r="C66" s="64"/>
      <c r="D66" s="64"/>
      <c r="E66" s="64"/>
      <c r="F66" s="64"/>
      <c r="G66" s="64"/>
      <c r="H66" s="64"/>
      <c r="I66" s="64"/>
      <c r="J66" s="64"/>
      <c r="K66" s="64"/>
      <c r="L66" s="64"/>
    </row>
    <row r="67" spans="1:12" ht="15.75">
      <c r="A67" s="65"/>
      <c r="B67" s="172"/>
      <c r="C67" s="64"/>
      <c r="D67" s="64"/>
      <c r="E67" s="64"/>
      <c r="F67" s="64"/>
      <c r="G67" s="64"/>
      <c r="H67" s="64"/>
      <c r="I67" s="64"/>
      <c r="J67" s="64"/>
      <c r="K67" s="64"/>
      <c r="L67" s="64"/>
    </row>
    <row r="68" spans="1:12" ht="15.75">
      <c r="A68" s="65"/>
      <c r="B68" s="172"/>
      <c r="C68" s="64"/>
      <c r="D68" s="64"/>
      <c r="E68" s="64"/>
      <c r="F68" s="64"/>
      <c r="G68" s="64"/>
      <c r="H68" s="64"/>
      <c r="I68" s="64"/>
      <c r="J68" s="64"/>
      <c r="K68" s="64"/>
      <c r="L68" s="64"/>
    </row>
    <row r="69" spans="1:12" ht="15.75">
      <c r="A69" s="65"/>
      <c r="B69" s="172"/>
      <c r="C69" s="64"/>
      <c r="D69" s="64"/>
      <c r="E69" s="64"/>
      <c r="F69" s="64"/>
      <c r="G69" s="64"/>
      <c r="H69" s="64"/>
      <c r="I69" s="64"/>
      <c r="J69" s="64"/>
      <c r="K69" s="64"/>
      <c r="L69" s="64"/>
    </row>
    <row r="70" spans="1:12" ht="15.75">
      <c r="A70" s="65"/>
      <c r="B70" s="172"/>
      <c r="C70" s="64"/>
      <c r="D70" s="64"/>
      <c r="E70" s="64"/>
      <c r="F70" s="64"/>
      <c r="G70" s="64"/>
      <c r="H70" s="64"/>
      <c r="I70" s="64"/>
      <c r="J70" s="64"/>
      <c r="K70" s="64"/>
      <c r="L70" s="64"/>
    </row>
    <row r="71" spans="1:12" ht="15.75">
      <c r="A71" s="65"/>
      <c r="B71" s="172"/>
      <c r="C71" s="64"/>
      <c r="D71" s="64"/>
      <c r="E71" s="64"/>
      <c r="F71" s="64"/>
      <c r="G71" s="64"/>
      <c r="H71" s="64"/>
      <c r="I71" s="64"/>
      <c r="J71" s="64"/>
      <c r="K71" s="64"/>
      <c r="L71" s="64"/>
    </row>
    <row r="72" spans="1:12" ht="15.75">
      <c r="A72" s="65"/>
      <c r="B72" s="172"/>
      <c r="C72" s="64"/>
      <c r="D72" s="64"/>
      <c r="E72" s="64"/>
      <c r="F72" s="64"/>
      <c r="G72" s="64"/>
      <c r="H72" s="64"/>
      <c r="I72" s="64"/>
      <c r="J72" s="64"/>
      <c r="K72" s="64"/>
      <c r="L72" s="64"/>
    </row>
    <row r="73" spans="1:12" ht="15.75">
      <c r="A73" s="65"/>
      <c r="B73" s="172"/>
      <c r="C73" s="172"/>
      <c r="D73" s="64"/>
      <c r="E73" s="64"/>
      <c r="F73" s="64"/>
      <c r="G73" s="64"/>
      <c r="H73" s="64"/>
      <c r="I73" s="64"/>
      <c r="J73" s="64"/>
      <c r="K73" s="64"/>
      <c r="L73" s="64"/>
    </row>
    <row r="74" spans="1:12" ht="15.75">
      <c r="A74" s="65"/>
      <c r="B74" s="172"/>
      <c r="C74" s="64"/>
      <c r="D74" s="64"/>
      <c r="E74" s="64"/>
      <c r="F74" s="64"/>
      <c r="G74" s="64"/>
      <c r="H74" s="64"/>
      <c r="I74" s="64"/>
      <c r="J74" s="64"/>
      <c r="K74" s="64"/>
      <c r="L74" s="64"/>
    </row>
    <row r="75" spans="1:12" ht="15.75">
      <c r="A75" s="65"/>
      <c r="B75" s="172"/>
      <c r="C75" s="64"/>
      <c r="D75" s="64"/>
      <c r="E75" s="64"/>
      <c r="F75" s="64"/>
      <c r="G75" s="64"/>
      <c r="H75" s="64"/>
      <c r="I75" s="64"/>
      <c r="J75" s="64"/>
      <c r="K75" s="64"/>
      <c r="L75" s="64"/>
    </row>
    <row r="76" spans="1:12" ht="15.75">
      <c r="A76" s="65"/>
      <c r="B76" s="172"/>
      <c r="C76" s="64"/>
      <c r="D76" s="64"/>
      <c r="E76" s="64"/>
      <c r="F76" s="64"/>
      <c r="G76" s="64"/>
      <c r="H76" s="64"/>
      <c r="I76" s="64"/>
      <c r="J76" s="64"/>
      <c r="K76" s="64"/>
      <c r="L76" s="64"/>
    </row>
    <row r="77" spans="1:12" ht="15.75">
      <c r="A77" s="65"/>
      <c r="B77" s="65"/>
      <c r="C77" s="64"/>
      <c r="D77" s="64"/>
      <c r="E77" s="64"/>
      <c r="F77" s="64"/>
      <c r="G77" s="64"/>
      <c r="H77" s="64"/>
      <c r="I77" s="64"/>
      <c r="J77" s="64"/>
      <c r="K77" s="64"/>
      <c r="L77" s="64"/>
    </row>
    <row r="78" spans="1:12" ht="15.75">
      <c r="A78" s="65"/>
      <c r="B78" s="65"/>
      <c r="C78" s="64"/>
      <c r="D78" s="64"/>
      <c r="E78" s="64"/>
      <c r="F78" s="64"/>
      <c r="G78" s="64"/>
      <c r="H78" s="64"/>
      <c r="I78" s="64"/>
      <c r="J78" s="64"/>
      <c r="K78" s="64"/>
      <c r="L78" s="64"/>
    </row>
    <row r="79" spans="1:12" ht="15.75">
      <c r="A79" s="65"/>
      <c r="B79" s="65"/>
      <c r="C79" s="64"/>
      <c r="D79" s="64"/>
      <c r="E79" s="64"/>
      <c r="F79" s="64"/>
      <c r="G79" s="64"/>
      <c r="H79" s="64"/>
      <c r="I79" s="64"/>
      <c r="J79" s="64"/>
      <c r="K79" s="64"/>
      <c r="L79" s="64"/>
    </row>
    <row r="80" spans="1:12" ht="15.75">
      <c r="A80" s="65"/>
      <c r="B80" s="65"/>
      <c r="C80" s="64"/>
      <c r="D80" s="64"/>
      <c r="E80" s="64"/>
      <c r="F80" s="64"/>
      <c r="G80" s="64"/>
      <c r="H80" s="64"/>
      <c r="I80" s="64"/>
      <c r="J80" s="64"/>
      <c r="K80" s="64"/>
      <c r="L80" s="64"/>
    </row>
    <row r="81" spans="1:12" ht="15.75">
      <c r="A81" s="65"/>
      <c r="B81" s="65"/>
      <c r="C81" s="64"/>
      <c r="D81" s="64"/>
      <c r="E81" s="64"/>
      <c r="F81" s="64"/>
      <c r="G81" s="64"/>
      <c r="H81" s="64"/>
      <c r="I81" s="64"/>
      <c r="J81" s="64"/>
      <c r="K81" s="64"/>
      <c r="L81" s="64"/>
    </row>
    <row r="82" spans="2:10" ht="15.75">
      <c r="B82" s="65"/>
      <c r="C82" s="64"/>
      <c r="D82" s="64"/>
      <c r="E82" s="64"/>
      <c r="F82" s="64"/>
      <c r="G82" s="64"/>
      <c r="H82" s="64"/>
      <c r="I82" s="64"/>
      <c r="J82" s="64"/>
    </row>
    <row r="83" spans="2:10" ht="15.75">
      <c r="B83" s="65"/>
      <c r="C83" s="64"/>
      <c r="D83" s="64"/>
      <c r="E83" s="64"/>
      <c r="F83" s="64"/>
      <c r="G83" s="64"/>
      <c r="H83" s="64"/>
      <c r="I83" s="64"/>
      <c r="J83" s="64"/>
    </row>
    <row r="84" spans="2:10" ht="15.75">
      <c r="B84" s="65"/>
      <c r="C84" s="64"/>
      <c r="D84" s="64"/>
      <c r="E84" s="64"/>
      <c r="F84" s="64"/>
      <c r="G84" s="64"/>
      <c r="H84" s="64"/>
      <c r="I84" s="64"/>
      <c r="J84" s="64"/>
    </row>
    <row r="85" spans="2:10" ht="15.75">
      <c r="B85" s="65"/>
      <c r="C85" s="64"/>
      <c r="D85" s="64"/>
      <c r="E85" s="64"/>
      <c r="F85" s="64"/>
      <c r="G85" s="64"/>
      <c r="H85" s="64"/>
      <c r="I85" s="64"/>
      <c r="J85" s="64"/>
    </row>
    <row r="86" spans="2:10" ht="15.75">
      <c r="B86" s="65"/>
      <c r="C86" s="64"/>
      <c r="D86" s="64"/>
      <c r="E86" s="64"/>
      <c r="F86" s="64"/>
      <c r="G86" s="64"/>
      <c r="H86" s="64"/>
      <c r="I86" s="64"/>
      <c r="J86" s="64"/>
    </row>
    <row r="87" spans="2:10" ht="15.75">
      <c r="B87" s="65"/>
      <c r="C87" s="64"/>
      <c r="D87" s="64"/>
      <c r="E87" s="64"/>
      <c r="F87" s="64"/>
      <c r="G87" s="64"/>
      <c r="H87" s="64"/>
      <c r="I87" s="64"/>
      <c r="J87" s="64"/>
    </row>
    <row r="88" spans="2:10" ht="15.75">
      <c r="B88" s="65"/>
      <c r="C88" s="64"/>
      <c r="D88" s="64"/>
      <c r="E88" s="64"/>
      <c r="F88" s="64"/>
      <c r="G88" s="64"/>
      <c r="H88" s="64"/>
      <c r="I88" s="64"/>
      <c r="J88" s="64"/>
    </row>
    <row r="89" spans="2:10" ht="15.75">
      <c r="B89" s="65"/>
      <c r="C89" s="64"/>
      <c r="D89" s="64"/>
      <c r="E89" s="64"/>
      <c r="F89" s="64"/>
      <c r="G89" s="64"/>
      <c r="H89" s="64"/>
      <c r="I89" s="64"/>
      <c r="J89" s="64"/>
    </row>
    <row r="90" spans="2:10" ht="15.75">
      <c r="B90" s="65"/>
      <c r="C90" s="64"/>
      <c r="D90" s="64"/>
      <c r="E90" s="64"/>
      <c r="F90" s="64"/>
      <c r="G90" s="64"/>
      <c r="H90" s="64"/>
      <c r="I90" s="64"/>
      <c r="J90" s="64"/>
    </row>
    <row r="91" spans="2:10" ht="15.75">
      <c r="B91" s="65"/>
      <c r="C91" s="64"/>
      <c r="D91" s="64"/>
      <c r="E91" s="64"/>
      <c r="F91" s="64"/>
      <c r="G91" s="64"/>
      <c r="H91" s="64"/>
      <c r="I91" s="64"/>
      <c r="J91" s="64"/>
    </row>
    <row r="92" spans="2:10" ht="15.75">
      <c r="B92" s="65"/>
      <c r="C92" s="64"/>
      <c r="D92" s="64"/>
      <c r="E92" s="64"/>
      <c r="F92" s="64"/>
      <c r="G92" s="64"/>
      <c r="H92" s="64"/>
      <c r="I92" s="64"/>
      <c r="J92" s="64"/>
    </row>
    <row r="93" spans="2:10" ht="15.75">
      <c r="B93" s="65"/>
      <c r="C93" s="64"/>
      <c r="D93" s="64"/>
      <c r="E93" s="64"/>
      <c r="F93" s="64"/>
      <c r="G93" s="64"/>
      <c r="H93" s="64"/>
      <c r="I93" s="64"/>
      <c r="J93" s="64"/>
    </row>
    <row r="94" spans="2:10" ht="15.75">
      <c r="B94" s="65"/>
      <c r="C94" s="64"/>
      <c r="D94" s="64"/>
      <c r="E94" s="64"/>
      <c r="F94" s="64"/>
      <c r="G94" s="64"/>
      <c r="H94" s="64"/>
      <c r="I94" s="64"/>
      <c r="J94" s="64"/>
    </row>
    <row r="95" spans="2:10" ht="15.75">
      <c r="B95" s="65"/>
      <c r="C95" s="64"/>
      <c r="D95" s="64"/>
      <c r="E95" s="64"/>
      <c r="F95" s="64"/>
      <c r="G95" s="64"/>
      <c r="H95" s="64"/>
      <c r="I95" s="64"/>
      <c r="J95" s="64"/>
    </row>
    <row r="96" spans="2:10" ht="15.75">
      <c r="B96" s="65"/>
      <c r="C96" s="64"/>
      <c r="D96" s="64"/>
      <c r="E96" s="64"/>
      <c r="F96" s="64"/>
      <c r="G96" s="64"/>
      <c r="H96" s="64"/>
      <c r="I96" s="64"/>
      <c r="J96" s="64"/>
    </row>
    <row r="97" spans="2:10" ht="15.75">
      <c r="B97" s="65"/>
      <c r="C97" s="64"/>
      <c r="D97" s="64"/>
      <c r="E97" s="64"/>
      <c r="F97" s="64"/>
      <c r="G97" s="64"/>
      <c r="H97" s="64"/>
      <c r="I97" s="64"/>
      <c r="J97" s="64"/>
    </row>
    <row r="98" spans="2:10" ht="15.75">
      <c r="B98" s="65"/>
      <c r="C98" s="64"/>
      <c r="D98" s="64"/>
      <c r="E98" s="64"/>
      <c r="F98" s="64"/>
      <c r="G98" s="64"/>
      <c r="H98" s="64"/>
      <c r="I98" s="64"/>
      <c r="J98" s="64"/>
    </row>
    <row r="99" spans="2:10" ht="15.75">
      <c r="B99" s="65"/>
      <c r="C99" s="64"/>
      <c r="D99" s="64"/>
      <c r="E99" s="64"/>
      <c r="F99" s="64"/>
      <c r="G99" s="64"/>
      <c r="H99" s="64"/>
      <c r="I99" s="64"/>
      <c r="J99" s="64"/>
    </row>
    <row r="100" spans="2:10" ht="15.75">
      <c r="B100" s="65"/>
      <c r="C100" s="64"/>
      <c r="D100" s="64"/>
      <c r="E100" s="64"/>
      <c r="F100" s="64"/>
      <c r="G100" s="64"/>
      <c r="H100" s="64"/>
      <c r="I100" s="64"/>
      <c r="J100" s="64"/>
    </row>
    <row r="101" spans="2:10" ht="15.75">
      <c r="B101" s="65"/>
      <c r="C101" s="64"/>
      <c r="D101" s="64"/>
      <c r="E101" s="64"/>
      <c r="F101" s="64"/>
      <c r="G101" s="64"/>
      <c r="H101" s="64"/>
      <c r="I101" s="64"/>
      <c r="J101" s="64"/>
    </row>
    <row r="102" spans="2:10" ht="15.75">
      <c r="B102" s="65"/>
      <c r="C102" s="64"/>
      <c r="D102" s="64"/>
      <c r="E102" s="64"/>
      <c r="F102" s="64"/>
      <c r="G102" s="64"/>
      <c r="H102" s="64"/>
      <c r="I102" s="64"/>
      <c r="J102" s="64"/>
    </row>
    <row r="103" spans="2:10" ht="15.75">
      <c r="B103" s="65"/>
      <c r="C103" s="64"/>
      <c r="D103" s="64"/>
      <c r="E103" s="64"/>
      <c r="F103" s="64"/>
      <c r="G103" s="64"/>
      <c r="H103" s="64"/>
      <c r="I103" s="64"/>
      <c r="J103" s="64"/>
    </row>
    <row r="104" spans="2:10" ht="15.75">
      <c r="B104" s="65"/>
      <c r="C104" s="64"/>
      <c r="D104" s="64"/>
      <c r="E104" s="64"/>
      <c r="F104" s="64"/>
      <c r="G104" s="64"/>
      <c r="H104" s="64"/>
      <c r="I104" s="64"/>
      <c r="J104" s="64"/>
    </row>
    <row r="105" spans="2:10" ht="15.75">
      <c r="B105" s="65"/>
      <c r="C105" s="64"/>
      <c r="D105" s="64"/>
      <c r="E105" s="64"/>
      <c r="F105" s="64"/>
      <c r="G105" s="64"/>
      <c r="H105" s="64"/>
      <c r="I105" s="64"/>
      <c r="J105" s="64"/>
    </row>
    <row r="106" spans="2:10" ht="15.75">
      <c r="B106" s="65"/>
      <c r="C106" s="64"/>
      <c r="D106" s="64"/>
      <c r="E106" s="64"/>
      <c r="F106" s="64"/>
      <c r="G106" s="64"/>
      <c r="H106" s="64"/>
      <c r="I106" s="64"/>
      <c r="J106" s="64"/>
    </row>
    <row r="107" spans="2:10" ht="15.75">
      <c r="B107" s="65"/>
      <c r="C107" s="64"/>
      <c r="D107" s="64"/>
      <c r="E107" s="64"/>
      <c r="F107" s="64"/>
      <c r="G107" s="64"/>
      <c r="H107" s="64"/>
      <c r="I107" s="64"/>
      <c r="J107" s="64"/>
    </row>
    <row r="108" spans="2:10" ht="15.75">
      <c r="B108" s="65"/>
      <c r="C108" s="64"/>
      <c r="D108" s="64"/>
      <c r="E108" s="64"/>
      <c r="F108" s="64"/>
      <c r="G108" s="64"/>
      <c r="H108" s="64"/>
      <c r="I108" s="64"/>
      <c r="J108" s="64"/>
    </row>
    <row r="109" spans="2:10" ht="15.75">
      <c r="B109" s="65"/>
      <c r="C109" s="64"/>
      <c r="D109" s="64"/>
      <c r="E109" s="64"/>
      <c r="F109" s="64"/>
      <c r="G109" s="64"/>
      <c r="H109" s="64"/>
      <c r="I109" s="64"/>
      <c r="J109" s="64"/>
    </row>
    <row r="110" spans="2:10" ht="15.75">
      <c r="B110" s="65"/>
      <c r="C110" s="64"/>
      <c r="D110" s="64"/>
      <c r="E110" s="64"/>
      <c r="F110" s="64"/>
      <c r="G110" s="64"/>
      <c r="H110" s="64"/>
      <c r="I110" s="64"/>
      <c r="J110" s="64"/>
    </row>
    <row r="111" spans="2:10" ht="15.75">
      <c r="B111" s="65"/>
      <c r="C111" s="64"/>
      <c r="D111" s="64"/>
      <c r="E111" s="64"/>
      <c r="F111" s="64"/>
      <c r="G111" s="64"/>
      <c r="H111" s="64"/>
      <c r="I111" s="64"/>
      <c r="J111" s="64"/>
    </row>
    <row r="112" spans="2:10" ht="15.75">
      <c r="B112" s="65"/>
      <c r="C112" s="64"/>
      <c r="D112" s="64"/>
      <c r="E112" s="64"/>
      <c r="F112" s="64"/>
      <c r="G112" s="64"/>
      <c r="H112" s="64"/>
      <c r="I112" s="64"/>
      <c r="J112" s="64"/>
    </row>
    <row r="113" spans="2:10" ht="15.75">
      <c r="B113" s="65"/>
      <c r="C113" s="64"/>
      <c r="D113" s="64"/>
      <c r="E113" s="64"/>
      <c r="F113" s="64"/>
      <c r="G113" s="64"/>
      <c r="H113" s="64"/>
      <c r="I113" s="64"/>
      <c r="J113" s="64"/>
    </row>
    <row r="114" spans="2:10" ht="15.75">
      <c r="B114" s="65"/>
      <c r="C114" s="64"/>
      <c r="D114" s="64"/>
      <c r="E114" s="64"/>
      <c r="F114" s="64"/>
      <c r="G114" s="64"/>
      <c r="H114" s="64"/>
      <c r="I114" s="64"/>
      <c r="J114" s="64"/>
    </row>
    <row r="115" spans="2:10" ht="15.75">
      <c r="B115" s="65"/>
      <c r="C115" s="64"/>
      <c r="D115" s="64"/>
      <c r="E115" s="64"/>
      <c r="F115" s="64"/>
      <c r="G115" s="64"/>
      <c r="H115" s="64"/>
      <c r="I115" s="64"/>
      <c r="J115" s="64"/>
    </row>
    <row r="116" spans="2:10" ht="15.75">
      <c r="B116" s="65"/>
      <c r="C116" s="64"/>
      <c r="D116" s="64"/>
      <c r="E116" s="64"/>
      <c r="F116" s="64"/>
      <c r="G116" s="64"/>
      <c r="H116" s="64"/>
      <c r="I116" s="64"/>
      <c r="J116" s="64"/>
    </row>
    <row r="117" spans="2:10" ht="15.75">
      <c r="B117" s="65"/>
      <c r="C117" s="64"/>
      <c r="D117" s="64"/>
      <c r="E117" s="64"/>
      <c r="F117" s="64"/>
      <c r="G117" s="64"/>
      <c r="H117" s="64"/>
      <c r="I117" s="64"/>
      <c r="J117" s="64"/>
    </row>
  </sheetData>
  <sheetProtection/>
  <mergeCells count="29">
    <mergeCell ref="AB1:AC1"/>
    <mergeCell ref="A2:AC2"/>
    <mergeCell ref="A3:AC3"/>
    <mergeCell ref="A4:AC4"/>
    <mergeCell ref="A12:B14"/>
    <mergeCell ref="C12:G13"/>
    <mergeCell ref="H12:Q12"/>
    <mergeCell ref="R12:R14"/>
    <mergeCell ref="S12:W13"/>
    <mergeCell ref="X12:AB13"/>
    <mergeCell ref="AC12:AC14"/>
    <mergeCell ref="H13:L13"/>
    <mergeCell ref="M13:Q13"/>
    <mergeCell ref="A15:B15"/>
    <mergeCell ref="C15:G15"/>
    <mergeCell ref="H15:L15"/>
    <mergeCell ref="M15:Q15"/>
    <mergeCell ref="S15:W15"/>
    <mergeCell ref="X15:AB15"/>
    <mergeCell ref="I38:I40"/>
    <mergeCell ref="R38:S38"/>
    <mergeCell ref="X38:Y38"/>
    <mergeCell ref="I42:I44"/>
    <mergeCell ref="X37:Y37"/>
    <mergeCell ref="A16:B16"/>
    <mergeCell ref="A17:B17"/>
    <mergeCell ref="A18:B18"/>
    <mergeCell ref="I30:I32"/>
    <mergeCell ref="I34:I36"/>
  </mergeCells>
  <printOptions horizontalCentered="1"/>
  <pageMargins left="0.79" right="0.79" top="0.75" bottom="0.75" header="0.3" footer="0.3"/>
  <pageSetup horizontalDpi="600" verticalDpi="600" orientation="landscape" paperSize="3" scale="60" r:id="rId1"/>
</worksheet>
</file>

<file path=xl/worksheets/sheet10.xml><?xml version="1.0" encoding="utf-8"?>
<worksheet xmlns="http://schemas.openxmlformats.org/spreadsheetml/2006/main" xmlns:r="http://schemas.openxmlformats.org/officeDocument/2006/relationships">
  <dimension ref="A1:AE54"/>
  <sheetViews>
    <sheetView zoomScalePageLayoutView="0" workbookViewId="0" topLeftCell="A16">
      <selection activeCell="N34" sqref="N34"/>
    </sheetView>
  </sheetViews>
  <sheetFormatPr defaultColWidth="11.00390625" defaultRowHeight="15.75"/>
  <cols>
    <col min="1" max="1" width="3.50390625" style="60" customWidth="1"/>
    <col min="2" max="2" width="24.50390625" style="60" customWidth="1"/>
    <col min="3" max="3" width="12.625" style="61" customWidth="1"/>
    <col min="4" max="4" width="13.375" style="61" customWidth="1"/>
    <col min="5" max="5" width="13.50390625" style="61" customWidth="1"/>
    <col min="6" max="6" width="11.50390625" style="61" customWidth="1"/>
    <col min="7" max="7" width="13.25390625" style="61" customWidth="1"/>
    <col min="8" max="8" width="12.375" style="61" customWidth="1"/>
    <col min="9" max="9" width="11.75390625" style="61" customWidth="1"/>
    <col min="10" max="10" width="10.625" style="61" customWidth="1"/>
    <col min="11" max="11" width="12.125" style="61" customWidth="1"/>
    <col min="12" max="12" width="13.50390625" style="61" customWidth="1"/>
    <col min="13" max="13" width="4.125" style="61" customWidth="1"/>
    <col min="14" max="14" width="13.25390625" style="61" customWidth="1"/>
    <col min="15" max="15" width="4.25390625" style="61" customWidth="1"/>
    <col min="16" max="16" width="12.50390625" style="61" customWidth="1"/>
    <col min="17" max="17" width="9.625" style="61" customWidth="1"/>
    <col min="18" max="18" width="13.375" style="61" customWidth="1"/>
    <col min="19" max="19" width="6.00390625" style="61" customWidth="1"/>
    <col min="20" max="20" width="6.50390625" style="61" customWidth="1"/>
    <col min="21" max="21" width="4.75390625" style="61" customWidth="1"/>
    <col min="22" max="22" width="6.75390625" style="61" customWidth="1"/>
    <col min="23" max="23" width="7.375" style="61" customWidth="1"/>
    <col min="24" max="24" width="13.25390625" style="61" customWidth="1"/>
    <col min="25" max="25" width="11.875" style="61" customWidth="1"/>
    <col min="26" max="26" width="10.875" style="61" customWidth="1"/>
    <col min="27" max="27" width="11.625" style="61" customWidth="1"/>
    <col min="28" max="28" width="11.875" style="61" customWidth="1"/>
    <col min="29" max="29" width="2.375" style="60" customWidth="1"/>
    <col min="30" max="30" width="11.00390625" style="121" customWidth="1"/>
    <col min="31" max="31" width="12.375" style="121" bestFit="1" customWidth="1"/>
    <col min="32" max="16384" width="11.00390625" style="121" customWidth="1"/>
  </cols>
  <sheetData>
    <row r="1" spans="1:2" ht="15.75">
      <c r="A1" s="119"/>
      <c r="B1" s="12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88</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9" t="s">
        <v>18</v>
      </c>
      <c r="I15" s="256"/>
      <c r="J15" s="256"/>
      <c r="K15" s="256"/>
      <c r="L15" s="262"/>
      <c r="M15" s="269" t="s">
        <v>19</v>
      </c>
      <c r="N15" s="256"/>
      <c r="O15" s="256"/>
      <c r="P15" s="256"/>
      <c r="Q15" s="262"/>
      <c r="R15" s="31" t="s">
        <v>20</v>
      </c>
      <c r="S15" s="269" t="s">
        <v>21</v>
      </c>
      <c r="T15" s="256"/>
      <c r="U15" s="256"/>
      <c r="V15" s="256"/>
      <c r="W15" s="257"/>
      <c r="X15" s="255" t="s">
        <v>22</v>
      </c>
      <c r="Y15" s="256"/>
      <c r="Z15" s="256"/>
      <c r="AA15" s="256"/>
      <c r="AB15" s="257"/>
      <c r="AC15" s="32" t="s">
        <v>23</v>
      </c>
      <c r="AD15" s="121" t="s">
        <v>63</v>
      </c>
    </row>
    <row r="16" spans="1:29" ht="15.75">
      <c r="A16" s="248"/>
      <c r="B16" s="249"/>
      <c r="C16" s="33"/>
      <c r="D16" s="33"/>
      <c r="E16" s="33"/>
      <c r="F16" s="33"/>
      <c r="G16" s="33"/>
      <c r="H16" s="34"/>
      <c r="I16" s="33"/>
      <c r="J16" s="33"/>
      <c r="K16" s="33"/>
      <c r="L16" s="33"/>
      <c r="M16" s="34"/>
      <c r="N16" s="33"/>
      <c r="O16" s="33"/>
      <c r="P16" s="33"/>
      <c r="Q16" s="33"/>
      <c r="R16" s="34"/>
      <c r="S16" s="34"/>
      <c r="T16" s="33"/>
      <c r="U16" s="33"/>
      <c r="V16" s="33"/>
      <c r="W16" s="33"/>
      <c r="X16" s="34"/>
      <c r="Y16" s="33"/>
      <c r="Z16" s="33"/>
      <c r="AA16" s="33"/>
      <c r="AB16" s="35"/>
      <c r="AC16" s="36"/>
    </row>
    <row r="17" spans="1:29" ht="15.75">
      <c r="A17" s="250" t="s">
        <v>24</v>
      </c>
      <c r="B17" s="299"/>
      <c r="C17" s="37">
        <f>C18+C19</f>
        <v>7774104.09</v>
      </c>
      <c r="D17" s="37">
        <f>D18+D19</f>
        <v>9333903.66</v>
      </c>
      <c r="E17" s="37">
        <f>E18+E19</f>
        <v>18000</v>
      </c>
      <c r="F17" s="37">
        <f>F18+F19</f>
        <v>6391392.63</v>
      </c>
      <c r="G17" s="38">
        <f>SUM(C17:F17)</f>
        <v>23517400.38</v>
      </c>
      <c r="H17" s="37">
        <f>H18+H19</f>
        <v>227782.15</v>
      </c>
      <c r="I17" s="37">
        <f>I18+I19</f>
        <v>20076806</v>
      </c>
      <c r="J17" s="37">
        <f>J18+J19</f>
        <v>0</v>
      </c>
      <c r="K17" s="37">
        <f>K18+K19</f>
        <v>11586636.23</v>
      </c>
      <c r="L17" s="38">
        <f>SUM(H17:K17)</f>
        <v>31891224.38</v>
      </c>
      <c r="M17" s="37">
        <f>M18+M19</f>
        <v>0</v>
      </c>
      <c r="N17" s="37">
        <f>N18+N19</f>
        <v>0</v>
      </c>
      <c r="O17" s="37">
        <f>O18+O19</f>
        <v>0</v>
      </c>
      <c r="P17" s="37">
        <f>P18+P19</f>
        <v>0</v>
      </c>
      <c r="Q17" s="38">
        <f>SUM(M17:P17)</f>
        <v>0</v>
      </c>
      <c r="R17" s="39">
        <f>G17+L17+Q17</f>
        <v>55408624.76</v>
      </c>
      <c r="S17" s="37">
        <f>S18+S19</f>
        <v>0</v>
      </c>
      <c r="T17" s="37">
        <f>T18+T19</f>
        <v>0</v>
      </c>
      <c r="U17" s="37">
        <f>U18+U19</f>
        <v>0</v>
      </c>
      <c r="V17" s="37">
        <f>V18+V19</f>
        <v>0</v>
      </c>
      <c r="W17" s="38">
        <f>SUM(S17:V17)</f>
        <v>0</v>
      </c>
      <c r="X17" s="37">
        <f>X18+X19</f>
        <v>8001886.24</v>
      </c>
      <c r="Y17" s="37">
        <f>Y18+Y19</f>
        <v>29410709.66</v>
      </c>
      <c r="Z17" s="37">
        <f>Z18+Z19</f>
        <v>18000</v>
      </c>
      <c r="AA17" s="37">
        <f>AA18+AA19</f>
        <v>17978028.86</v>
      </c>
      <c r="AB17" s="38">
        <f>SUM(X17:AA17)</f>
        <v>55408624.76</v>
      </c>
      <c r="AC17" s="40"/>
    </row>
    <row r="18" spans="1:31" ht="15.75">
      <c r="A18" s="252" t="s">
        <v>25</v>
      </c>
      <c r="B18" s="300"/>
      <c r="C18" s="106">
        <v>7774104.09</v>
      </c>
      <c r="D18" s="107">
        <f>9333903.66-D19</f>
        <v>8261357.12</v>
      </c>
      <c r="E18" s="41">
        <v>18000</v>
      </c>
      <c r="F18" s="41">
        <f>6391392.63-F19</f>
        <v>2811735</v>
      </c>
      <c r="G18" s="38">
        <f aca="true" t="shared" si="0" ref="G18:G24">SUM(C18:F18)</f>
        <v>18865196.21</v>
      </c>
      <c r="H18" s="91">
        <v>227782.15</v>
      </c>
      <c r="I18" s="92">
        <f>20076806-I19</f>
        <v>7476396.17</v>
      </c>
      <c r="J18" s="41"/>
      <c r="K18" s="41">
        <v>11586636.23</v>
      </c>
      <c r="L18" s="38">
        <f aca="true" t="shared" si="1" ref="L18:L24">SUM(H18:K18)</f>
        <v>19290814.55</v>
      </c>
      <c r="M18" s="41"/>
      <c r="N18" s="41"/>
      <c r="O18" s="41"/>
      <c r="P18" s="41"/>
      <c r="Q18" s="38">
        <f aca="true" t="shared" si="2" ref="Q18:Q24">SUM(M18:P18)</f>
        <v>0</v>
      </c>
      <c r="R18" s="39">
        <f aca="true" t="shared" si="3" ref="R18:R24">G18+L18+Q18</f>
        <v>38156010.760000005</v>
      </c>
      <c r="S18" s="41"/>
      <c r="T18" s="41"/>
      <c r="U18" s="41"/>
      <c r="V18" s="41"/>
      <c r="W18" s="38">
        <f aca="true" t="shared" si="4" ref="W18:W24">SUM(S18:V18)</f>
        <v>0</v>
      </c>
      <c r="X18" s="41">
        <f>C18+H18+M18+S18</f>
        <v>8001886.24</v>
      </c>
      <c r="Y18" s="41">
        <f aca="true" t="shared" si="5" ref="Y18:AA24">D18+I18+N18+T18</f>
        <v>15737753.29</v>
      </c>
      <c r="Z18" s="41">
        <f t="shared" si="5"/>
        <v>18000</v>
      </c>
      <c r="AA18" s="41">
        <f t="shared" si="5"/>
        <v>14398371.23</v>
      </c>
      <c r="AB18" s="38">
        <f aca="true" t="shared" si="6" ref="AB18:AB24">SUM(X18:AA18)</f>
        <v>38156010.760000005</v>
      </c>
      <c r="AC18" s="42"/>
      <c r="AE18" s="128"/>
    </row>
    <row r="19" spans="1:29" ht="15.75">
      <c r="A19" s="113" t="s">
        <v>26</v>
      </c>
      <c r="B19" s="44"/>
      <c r="C19" s="41"/>
      <c r="D19" s="108">
        <v>1072546.54</v>
      </c>
      <c r="E19" s="41"/>
      <c r="F19" s="41">
        <v>3579657.63</v>
      </c>
      <c r="G19" s="38">
        <f t="shared" si="0"/>
        <v>4652204.17</v>
      </c>
      <c r="H19" s="41"/>
      <c r="I19" s="108">
        <v>12600409.83</v>
      </c>
      <c r="J19" s="41"/>
      <c r="K19" s="41"/>
      <c r="L19" s="38">
        <f t="shared" si="1"/>
        <v>12600409.83</v>
      </c>
      <c r="M19" s="41"/>
      <c r="N19" s="41"/>
      <c r="O19" s="41"/>
      <c r="P19" s="41"/>
      <c r="Q19" s="38">
        <f t="shared" si="2"/>
        <v>0</v>
      </c>
      <c r="R19" s="39">
        <f t="shared" si="3"/>
        <v>17252614</v>
      </c>
      <c r="S19" s="41"/>
      <c r="T19" s="41"/>
      <c r="U19" s="41"/>
      <c r="V19" s="41"/>
      <c r="W19" s="38">
        <f t="shared" si="4"/>
        <v>0</v>
      </c>
      <c r="X19" s="41">
        <f aca="true" t="shared" si="7" ref="X19:X24">C19+H19+M19+S19</f>
        <v>0</v>
      </c>
      <c r="Y19" s="41">
        <f t="shared" si="5"/>
        <v>13672956.370000001</v>
      </c>
      <c r="Z19" s="41">
        <f t="shared" si="5"/>
        <v>0</v>
      </c>
      <c r="AA19" s="41">
        <f t="shared" si="5"/>
        <v>3579657.63</v>
      </c>
      <c r="AB19" s="38">
        <f t="shared" si="6"/>
        <v>17252614</v>
      </c>
      <c r="AC19" s="42"/>
    </row>
    <row r="20" spans="1:29" ht="15.75">
      <c r="A20" s="112" t="s">
        <v>27</v>
      </c>
      <c r="B20" s="44"/>
      <c r="C20" s="41"/>
      <c r="D20" s="41"/>
      <c r="E20" s="41"/>
      <c r="F20" s="41"/>
      <c r="G20" s="38">
        <f t="shared" si="0"/>
        <v>0</v>
      </c>
      <c r="H20" s="41"/>
      <c r="I20" s="41"/>
      <c r="J20" s="41"/>
      <c r="K20" s="41"/>
      <c r="L20" s="38">
        <f t="shared" si="1"/>
        <v>0</v>
      </c>
      <c r="M20" s="41"/>
      <c r="N20" s="41"/>
      <c r="O20" s="41"/>
      <c r="P20" s="41"/>
      <c r="Q20" s="38">
        <f t="shared" si="2"/>
        <v>0</v>
      </c>
      <c r="R20" s="39">
        <f t="shared" si="3"/>
        <v>0</v>
      </c>
      <c r="S20" s="41"/>
      <c r="T20" s="41"/>
      <c r="U20" s="41"/>
      <c r="V20" s="41"/>
      <c r="W20" s="38">
        <f t="shared" si="4"/>
        <v>0</v>
      </c>
      <c r="X20" s="41">
        <f t="shared" si="7"/>
        <v>0</v>
      </c>
      <c r="Y20" s="41">
        <f t="shared" si="5"/>
        <v>0</v>
      </c>
      <c r="Z20" s="41">
        <f t="shared" si="5"/>
        <v>0</v>
      </c>
      <c r="AA20" s="41">
        <f t="shared" si="5"/>
        <v>0</v>
      </c>
      <c r="AB20" s="38">
        <f t="shared" si="6"/>
        <v>0</v>
      </c>
      <c r="AC20" s="42"/>
    </row>
    <row r="21" spans="1:31" ht="15.75">
      <c r="A21" s="112" t="s">
        <v>28</v>
      </c>
      <c r="B21" s="114"/>
      <c r="C21" s="118">
        <v>648136.55</v>
      </c>
      <c r="D21" s="118">
        <v>55213.19</v>
      </c>
      <c r="E21" s="118"/>
      <c r="F21" s="156">
        <v>284099.8</v>
      </c>
      <c r="G21" s="38">
        <f t="shared" si="0"/>
        <v>987449.54</v>
      </c>
      <c r="H21" s="41"/>
      <c r="I21" s="118">
        <v>615603.4</v>
      </c>
      <c r="J21" s="118"/>
      <c r="K21" s="118">
        <v>788373.47</v>
      </c>
      <c r="L21" s="38">
        <f t="shared" si="1"/>
        <v>1403976.87</v>
      </c>
      <c r="M21" s="86"/>
      <c r="N21" s="87"/>
      <c r="O21" s="41"/>
      <c r="P21" s="41"/>
      <c r="Q21" s="38">
        <f t="shared" si="2"/>
        <v>0</v>
      </c>
      <c r="R21" s="39">
        <f t="shared" si="3"/>
        <v>2391426.41</v>
      </c>
      <c r="S21" s="41"/>
      <c r="T21" s="41"/>
      <c r="U21" s="41"/>
      <c r="V21" s="41"/>
      <c r="W21" s="38">
        <f t="shared" si="4"/>
        <v>0</v>
      </c>
      <c r="X21" s="41">
        <f t="shared" si="7"/>
        <v>648136.55</v>
      </c>
      <c r="Y21" s="41">
        <f t="shared" si="5"/>
        <v>670816.5900000001</v>
      </c>
      <c r="Z21" s="41">
        <f t="shared" si="5"/>
        <v>0</v>
      </c>
      <c r="AA21" s="41">
        <f t="shared" si="5"/>
        <v>1072473.27</v>
      </c>
      <c r="AB21" s="38">
        <f t="shared" si="6"/>
        <v>2391426.41</v>
      </c>
      <c r="AC21" s="42"/>
      <c r="AE21" s="128"/>
    </row>
    <row r="22" spans="1:29" ht="15.75">
      <c r="A22" s="112" t="s">
        <v>29</v>
      </c>
      <c r="B22" s="114"/>
      <c r="C22" s="41"/>
      <c r="D22" s="41"/>
      <c r="E22" s="41"/>
      <c r="F22" s="41"/>
      <c r="G22" s="38">
        <f t="shared" si="0"/>
        <v>0</v>
      </c>
      <c r="H22" s="41"/>
      <c r="I22" s="41"/>
      <c r="J22" s="41"/>
      <c r="K22" s="41"/>
      <c r="L22" s="38">
        <f t="shared" si="1"/>
        <v>0</v>
      </c>
      <c r="M22" s="41"/>
      <c r="N22" s="41"/>
      <c r="O22" s="41"/>
      <c r="P22" s="41"/>
      <c r="Q22" s="38">
        <f t="shared" si="2"/>
        <v>0</v>
      </c>
      <c r="R22" s="39">
        <f t="shared" si="3"/>
        <v>0</v>
      </c>
      <c r="S22" s="41"/>
      <c r="T22" s="41"/>
      <c r="U22" s="41"/>
      <c r="V22" s="41"/>
      <c r="W22" s="38">
        <f t="shared" si="4"/>
        <v>0</v>
      </c>
      <c r="X22" s="41">
        <f t="shared" si="7"/>
        <v>0</v>
      </c>
      <c r="Y22" s="41">
        <f t="shared" si="5"/>
        <v>0</v>
      </c>
      <c r="Z22" s="41">
        <f t="shared" si="5"/>
        <v>0</v>
      </c>
      <c r="AA22" s="41">
        <f t="shared" si="5"/>
        <v>0</v>
      </c>
      <c r="AB22" s="38">
        <f t="shared" si="6"/>
        <v>0</v>
      </c>
      <c r="AC22" s="42"/>
    </row>
    <row r="23" spans="1:29" ht="15.75">
      <c r="A23" s="112" t="s">
        <v>30</v>
      </c>
      <c r="B23" s="114"/>
      <c r="C23" s="41"/>
      <c r="D23" s="41"/>
      <c r="E23" s="41"/>
      <c r="F23" s="41"/>
      <c r="G23" s="38">
        <f t="shared" si="0"/>
        <v>0</v>
      </c>
      <c r="H23" s="41"/>
      <c r="I23" s="41"/>
      <c r="J23" s="41"/>
      <c r="K23" s="41"/>
      <c r="L23" s="38">
        <f t="shared" si="1"/>
        <v>0</v>
      </c>
      <c r="M23" s="41"/>
      <c r="N23" s="41"/>
      <c r="O23" s="41"/>
      <c r="P23" s="41"/>
      <c r="Q23" s="38">
        <f t="shared" si="2"/>
        <v>0</v>
      </c>
      <c r="R23" s="39">
        <f t="shared" si="3"/>
        <v>0</v>
      </c>
      <c r="S23" s="41"/>
      <c r="T23" s="41"/>
      <c r="U23" s="41"/>
      <c r="V23" s="41"/>
      <c r="W23" s="38">
        <f t="shared" si="4"/>
        <v>0</v>
      </c>
      <c r="X23" s="41">
        <f t="shared" si="7"/>
        <v>0</v>
      </c>
      <c r="Y23" s="41">
        <f t="shared" si="5"/>
        <v>0</v>
      </c>
      <c r="Z23" s="41">
        <f t="shared" si="5"/>
        <v>0</v>
      </c>
      <c r="AA23" s="41">
        <f t="shared" si="5"/>
        <v>0</v>
      </c>
      <c r="AB23" s="38">
        <f t="shared" si="6"/>
        <v>0</v>
      </c>
      <c r="AC23" s="42"/>
    </row>
    <row r="24" spans="1:29" ht="15.75">
      <c r="A24" s="112" t="s">
        <v>31</v>
      </c>
      <c r="B24" s="114"/>
      <c r="C24" s="41"/>
      <c r="D24" s="41"/>
      <c r="E24" s="41"/>
      <c r="F24" s="41"/>
      <c r="G24" s="38">
        <f t="shared" si="0"/>
        <v>0</v>
      </c>
      <c r="H24" s="41"/>
      <c r="I24" s="41"/>
      <c r="J24" s="41"/>
      <c r="K24" s="41"/>
      <c r="L24" s="38">
        <f t="shared" si="1"/>
        <v>0</v>
      </c>
      <c r="M24" s="41"/>
      <c r="N24" s="41"/>
      <c r="O24" s="41"/>
      <c r="P24" s="41"/>
      <c r="Q24" s="38">
        <f t="shared" si="2"/>
        <v>0</v>
      </c>
      <c r="R24" s="39">
        <f t="shared" si="3"/>
        <v>0</v>
      </c>
      <c r="S24" s="41"/>
      <c r="T24" s="41"/>
      <c r="U24" s="41"/>
      <c r="V24" s="41"/>
      <c r="W24" s="38">
        <f t="shared" si="4"/>
        <v>0</v>
      </c>
      <c r="X24" s="41">
        <f t="shared" si="7"/>
        <v>0</v>
      </c>
      <c r="Y24" s="41">
        <f t="shared" si="5"/>
        <v>0</v>
      </c>
      <c r="Z24" s="41">
        <f t="shared" si="5"/>
        <v>0</v>
      </c>
      <c r="AA24" s="41">
        <f t="shared" si="5"/>
        <v>0</v>
      </c>
      <c r="AB24" s="38">
        <f t="shared" si="6"/>
        <v>0</v>
      </c>
      <c r="AC24" s="42"/>
    </row>
    <row r="25" spans="1:29" ht="16.5" thickBot="1">
      <c r="A25" s="47"/>
      <c r="B25" s="114" t="s">
        <v>32</v>
      </c>
      <c r="C25" s="48">
        <f>C17+C21+C22+C24+C20+C23</f>
        <v>8422240.64</v>
      </c>
      <c r="D25" s="48">
        <f>D17+D21+D22+D24+D20+D23</f>
        <v>9389116.85</v>
      </c>
      <c r="E25" s="48">
        <f>E17+E21+E22+E24+E20+E23</f>
        <v>18000</v>
      </c>
      <c r="F25" s="48">
        <f>F17+F21+F22+F24+F20+F23</f>
        <v>6675492.43</v>
      </c>
      <c r="G25" s="48">
        <f>G17+G21+G22+G24+G20+G23</f>
        <v>24504849.919999998</v>
      </c>
      <c r="H25" s="48">
        <f>H17+H21+H22+H24+H20+H23</f>
        <v>227782.15</v>
      </c>
      <c r="I25" s="48">
        <f>I17+I21+I22+I24+I20+I23</f>
        <v>20692409.4</v>
      </c>
      <c r="J25" s="48">
        <f>J17+J21+J22+J24+J20+J23</f>
        <v>0</v>
      </c>
      <c r="K25" s="48">
        <f>K17+K21+K22+K24+K20+K23</f>
        <v>12375009.700000001</v>
      </c>
      <c r="L25" s="48">
        <f>L17+L21+L22+L24+L20+L23</f>
        <v>33295201.25</v>
      </c>
      <c r="M25" s="48">
        <f>M17+M21+M22+M24+M20+M23</f>
        <v>0</v>
      </c>
      <c r="N25" s="48">
        <f>N17+N21+N22+N24+N20+N23</f>
        <v>0</v>
      </c>
      <c r="O25" s="48">
        <f>O17+O21+O22+O24+O20+O23</f>
        <v>0</v>
      </c>
      <c r="P25" s="48">
        <f>P17+P21+P22+P24+P20+P23</f>
        <v>0</v>
      </c>
      <c r="Q25" s="48">
        <f>Q17+Q21+Q22+Q24+Q20+Q23</f>
        <v>0</v>
      </c>
      <c r="R25" s="48">
        <f>R17+R21+R22+R24</f>
        <v>57800051.17</v>
      </c>
      <c r="S25" s="48">
        <f>S17+S21+S22+S24+S20+S23</f>
        <v>0</v>
      </c>
      <c r="T25" s="48">
        <f>T17+T21+T22+T24+T20+T23</f>
        <v>0</v>
      </c>
      <c r="U25" s="48">
        <f>U17+U21+U22+U24+U20+U23</f>
        <v>0</v>
      </c>
      <c r="V25" s="48">
        <f>V17+V21+V22+V24+V20+V23</f>
        <v>0</v>
      </c>
      <c r="W25" s="48">
        <f>W17+W21+W22+W24+W20+W23</f>
        <v>0</v>
      </c>
      <c r="X25" s="48">
        <f>X17+X21+X22+X24+X20+X23</f>
        <v>8650022.790000001</v>
      </c>
      <c r="Y25" s="48">
        <f>Y17+Y21+Y22+Y24+Y20+Y23</f>
        <v>30081526.25</v>
      </c>
      <c r="Z25" s="48">
        <f>Z17+Z21+Z22+Z24+Z20+Z23</f>
        <v>18000</v>
      </c>
      <c r="AA25" s="48">
        <f>AA17+AA21+AA22+AA24+AA20+AA23</f>
        <v>19050502.13</v>
      </c>
      <c r="AB25" s="48">
        <f>AB17+AB21+AB22+AB24+AB20+AB23</f>
        <v>57800051.17</v>
      </c>
      <c r="AC25" s="42"/>
    </row>
    <row r="26" spans="1:29" ht="17.25" thickBot="1" thickTop="1">
      <c r="A26" s="47"/>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14" t="s">
        <v>33</v>
      </c>
      <c r="H28" s="62"/>
      <c r="I28" s="62"/>
      <c r="J28" s="62"/>
      <c r="K28" s="62"/>
      <c r="L28" s="63"/>
      <c r="M28" s="63"/>
      <c r="N28" s="63"/>
      <c r="O28" s="63"/>
      <c r="P28" s="63"/>
      <c r="Q28" s="63"/>
      <c r="R28" s="63"/>
      <c r="S28" s="64"/>
      <c r="AC28" s="65"/>
    </row>
    <row r="29" spans="1:29" ht="26.25">
      <c r="A29" s="114"/>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62">
        <f>SUM(D31:D36)</f>
        <v>162211544.04</v>
      </c>
      <c r="E30" s="62">
        <f>SUM(E31:E36)</f>
        <v>58577426.41</v>
      </c>
      <c r="F30" s="62"/>
      <c r="G30" s="62">
        <f>SUM(G31:G36)</f>
        <v>220788970.45</v>
      </c>
      <c r="H30" s="62"/>
      <c r="I30" s="254" t="s">
        <v>52</v>
      </c>
      <c r="J30" s="67" t="s">
        <v>38</v>
      </c>
      <c r="K30" s="62"/>
      <c r="L30" s="68">
        <f>'101 Mar REVISED'!P30</f>
        <v>155985694</v>
      </c>
      <c r="M30" s="68"/>
      <c r="N30" s="68">
        <f>N34+N42</f>
        <v>66218000</v>
      </c>
      <c r="O30" s="68"/>
      <c r="P30" s="68">
        <f>L30+N30</f>
        <v>222203694</v>
      </c>
      <c r="AB30" s="64"/>
      <c r="AC30" s="65"/>
    </row>
    <row r="31" spans="1:29" ht="15.75">
      <c r="A31" s="69"/>
      <c r="B31" s="66" t="s">
        <v>39</v>
      </c>
      <c r="C31" s="68"/>
      <c r="D31" s="68">
        <v>155985694</v>
      </c>
      <c r="E31" s="62">
        <v>56186000</v>
      </c>
      <c r="F31" s="62"/>
      <c r="G31" s="63">
        <f>C31+E31+D31</f>
        <v>212171694</v>
      </c>
      <c r="H31" s="62"/>
      <c r="I31" s="254"/>
      <c r="J31" s="64" t="s">
        <v>40</v>
      </c>
      <c r="K31" s="62"/>
      <c r="L31" s="70">
        <f>'101 Mar REVISED'!P31</f>
        <v>162211147.07000002</v>
      </c>
      <c r="M31" s="70"/>
      <c r="N31" s="70">
        <f>+N35+N39+N43</f>
        <v>57800051.17</v>
      </c>
      <c r="O31" s="70"/>
      <c r="P31" s="71">
        <f>L31+N31</f>
        <v>220011198.24</v>
      </c>
      <c r="AB31" s="64"/>
      <c r="AC31" s="65"/>
    </row>
    <row r="32" spans="1:29" ht="16.5" thickBot="1">
      <c r="A32" s="69"/>
      <c r="B32" s="66" t="s">
        <v>67</v>
      </c>
      <c r="C32" s="62"/>
      <c r="D32" s="62"/>
      <c r="E32" s="62"/>
      <c r="F32" s="62"/>
      <c r="G32" s="63">
        <f aca="true" t="shared" si="8" ref="G32:G38">C32+E32+D32</f>
        <v>0</v>
      </c>
      <c r="H32" s="62"/>
      <c r="I32" s="254"/>
      <c r="J32" s="64" t="s">
        <v>41</v>
      </c>
      <c r="K32" s="62"/>
      <c r="L32" s="72">
        <f>L30-L31</f>
        <v>-6225453.070000023</v>
      </c>
      <c r="M32" s="70"/>
      <c r="N32" s="72">
        <f>N30-N31</f>
        <v>8417948.829999998</v>
      </c>
      <c r="O32" s="70"/>
      <c r="P32" s="73">
        <f>P30-P31</f>
        <v>2192495.7599999905</v>
      </c>
      <c r="AB32" s="64"/>
      <c r="AC32" s="65"/>
    </row>
    <row r="33" spans="1:29" ht="16.5" thickTop="1">
      <c r="A33" s="69"/>
      <c r="B33" s="66" t="s">
        <v>42</v>
      </c>
      <c r="C33" s="62"/>
      <c r="D33" s="62">
        <v>6225850.04</v>
      </c>
      <c r="E33" s="62">
        <f>+AB21</f>
        <v>2391426.41</v>
      </c>
      <c r="F33" s="62"/>
      <c r="G33" s="63">
        <f t="shared" si="8"/>
        <v>8617276.45</v>
      </c>
      <c r="H33" s="62"/>
      <c r="I33" s="76"/>
      <c r="J33" s="64"/>
      <c r="K33" s="62"/>
      <c r="L33" s="64"/>
      <c r="M33" s="64"/>
      <c r="N33" s="64"/>
      <c r="O33" s="64"/>
      <c r="P33" s="64"/>
      <c r="R33" s="140" t="s">
        <v>58</v>
      </c>
      <c r="X33" s="140" t="s">
        <v>60</v>
      </c>
      <c r="AB33" s="64"/>
      <c r="AC33" s="65"/>
    </row>
    <row r="34" spans="1:29" ht="15" customHeight="1">
      <c r="A34" s="69"/>
      <c r="B34" s="66" t="s">
        <v>43</v>
      </c>
      <c r="C34" s="62"/>
      <c r="D34" s="62"/>
      <c r="E34" s="62"/>
      <c r="F34" s="62"/>
      <c r="G34" s="63">
        <f t="shared" si="8"/>
        <v>0</v>
      </c>
      <c r="H34" s="62"/>
      <c r="I34" s="254" t="s">
        <v>53</v>
      </c>
      <c r="J34" s="67" t="s">
        <v>38</v>
      </c>
      <c r="K34" s="62"/>
      <c r="L34" s="68">
        <v>143387694</v>
      </c>
      <c r="M34" s="68"/>
      <c r="N34" s="68">
        <v>56186000</v>
      </c>
      <c r="O34" s="68"/>
      <c r="P34" s="68">
        <f>L34+N34</f>
        <v>199573694</v>
      </c>
      <c r="AB34" s="64"/>
      <c r="AC34" s="65"/>
    </row>
    <row r="35" spans="1:29" ht="15.75">
      <c r="A35" s="69"/>
      <c r="B35" s="66" t="s">
        <v>44</v>
      </c>
      <c r="C35" s="62"/>
      <c r="D35" s="62"/>
      <c r="E35" s="62"/>
      <c r="F35" s="62"/>
      <c r="G35" s="63">
        <f t="shared" si="8"/>
        <v>0</v>
      </c>
      <c r="H35" s="62"/>
      <c r="I35" s="254"/>
      <c r="J35" s="64" t="s">
        <v>40</v>
      </c>
      <c r="K35" s="62"/>
      <c r="L35" s="70">
        <v>36613074.31</v>
      </c>
      <c r="M35" s="70"/>
      <c r="N35" s="70">
        <f>+G25</f>
        <v>24504849.919999998</v>
      </c>
      <c r="O35" s="70"/>
      <c r="P35" s="71">
        <f>L35+N35</f>
        <v>61117924.230000004</v>
      </c>
      <c r="AB35" s="64"/>
      <c r="AC35" s="65"/>
    </row>
    <row r="36" spans="1:29" ht="16.5" thickBot="1">
      <c r="A36" s="69"/>
      <c r="B36" s="66" t="s">
        <v>45</v>
      </c>
      <c r="C36" s="62"/>
      <c r="D36" s="62"/>
      <c r="E36" s="62"/>
      <c r="F36" s="62"/>
      <c r="G36" s="63">
        <f t="shared" si="8"/>
        <v>0</v>
      </c>
      <c r="H36" s="62"/>
      <c r="I36" s="254"/>
      <c r="J36" s="64" t="s">
        <v>41</v>
      </c>
      <c r="K36" s="62"/>
      <c r="L36" s="72">
        <f>L34-L35</f>
        <v>106774619.69</v>
      </c>
      <c r="M36" s="70"/>
      <c r="N36" s="72">
        <f>N34-N35</f>
        <v>31681150.080000002</v>
      </c>
      <c r="O36" s="70"/>
      <c r="P36" s="73">
        <f>P34-P35</f>
        <v>138455769.76999998</v>
      </c>
      <c r="AB36" s="64"/>
      <c r="AC36" s="65"/>
    </row>
    <row r="37" spans="1:29" ht="16.5" thickTop="1">
      <c r="A37" s="74" t="s">
        <v>46</v>
      </c>
      <c r="B37" s="66"/>
      <c r="C37" s="62"/>
      <c r="D37" s="62"/>
      <c r="E37" s="62"/>
      <c r="F37" s="62"/>
      <c r="G37" s="63">
        <f t="shared" si="8"/>
        <v>0</v>
      </c>
      <c r="H37" s="62"/>
      <c r="I37" s="76"/>
      <c r="J37" s="64"/>
      <c r="K37" s="62"/>
      <c r="L37" s="64"/>
      <c r="M37" s="64"/>
      <c r="N37" s="64"/>
      <c r="O37" s="64"/>
      <c r="P37" s="64"/>
      <c r="R37" s="140" t="s">
        <v>81</v>
      </c>
      <c r="X37" s="259" t="s">
        <v>85</v>
      </c>
      <c r="Y37" s="259"/>
      <c r="AB37" s="64"/>
      <c r="AC37" s="65"/>
    </row>
    <row r="38" spans="1:29" ht="15" customHeight="1">
      <c r="A38" s="74" t="s">
        <v>47</v>
      </c>
      <c r="B38" s="66"/>
      <c r="C38" s="62"/>
      <c r="D38" s="62"/>
      <c r="E38" s="62"/>
      <c r="F38" s="62"/>
      <c r="G38" s="63">
        <f t="shared" si="8"/>
        <v>0</v>
      </c>
      <c r="H38" s="62"/>
      <c r="I38" s="254" t="s">
        <v>54</v>
      </c>
      <c r="J38" s="67" t="s">
        <v>38</v>
      </c>
      <c r="K38" s="62"/>
      <c r="L38" s="68"/>
      <c r="M38" s="68"/>
      <c r="N38" s="68"/>
      <c r="O38" s="68"/>
      <c r="P38" s="68">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c r="M39" s="70"/>
      <c r="N39" s="70">
        <f>+Q25</f>
        <v>0</v>
      </c>
      <c r="O39" s="70"/>
      <c r="P39" s="71">
        <f>L39+N39</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3">
        <f>P38-P39</f>
        <v>0</v>
      </c>
      <c r="AB40" s="64"/>
      <c r="AC40" s="65"/>
    </row>
    <row r="41" spans="1:29" ht="16.5" thickTop="1">
      <c r="A41" s="66" t="s">
        <v>48</v>
      </c>
      <c r="B41" s="66"/>
      <c r="C41" s="62">
        <f>C30-C37+C38-C39+C40</f>
        <v>0</v>
      </c>
      <c r="D41" s="62">
        <f>D30-D37+D38-D39+D40</f>
        <v>162211544.04</v>
      </c>
      <c r="E41" s="62">
        <f>E30-E37+E38-E39+E40</f>
        <v>58577426.41</v>
      </c>
      <c r="F41" s="62"/>
      <c r="G41" s="62">
        <f>G30-G37+G38-G39+G40</f>
        <v>220788970.45</v>
      </c>
      <c r="H41" s="62"/>
      <c r="I41" s="76"/>
      <c r="J41" s="64"/>
      <c r="K41" s="62"/>
      <c r="L41" s="64"/>
      <c r="M41" s="64"/>
      <c r="N41" s="64"/>
      <c r="O41" s="64"/>
      <c r="P41" s="64"/>
      <c r="AB41" s="64"/>
      <c r="AC41" s="65"/>
    </row>
    <row r="42" spans="1:29" ht="15" customHeight="1">
      <c r="A42" s="74" t="s">
        <v>51</v>
      </c>
      <c r="B42" s="66"/>
      <c r="C42" s="62"/>
      <c r="D42" s="62">
        <v>396.97</v>
      </c>
      <c r="E42" s="62"/>
      <c r="F42" s="62"/>
      <c r="G42" s="63">
        <f>C42+E42+D42</f>
        <v>396.97</v>
      </c>
      <c r="H42" s="62"/>
      <c r="I42" s="254" t="s">
        <v>55</v>
      </c>
      <c r="J42" s="67" t="s">
        <v>38</v>
      </c>
      <c r="K42" s="62"/>
      <c r="L42" s="68">
        <f>'101 Mar REVISED'!P42</f>
        <v>12598000</v>
      </c>
      <c r="M42" s="68"/>
      <c r="N42" s="68">
        <v>10032000</v>
      </c>
      <c r="O42" s="68"/>
      <c r="P42" s="68">
        <f>L42+N42</f>
        <v>22630000</v>
      </c>
      <c r="AB42" s="64"/>
      <c r="AC42" s="65"/>
    </row>
    <row r="43" spans="1:29" ht="15.75">
      <c r="A43" s="69"/>
      <c r="B43" s="66" t="s">
        <v>49</v>
      </c>
      <c r="C43" s="62"/>
      <c r="D43" s="62">
        <v>162211147.07</v>
      </c>
      <c r="E43" s="62">
        <f>AB25</f>
        <v>57800051.17</v>
      </c>
      <c r="F43" s="62"/>
      <c r="G43" s="63">
        <f>C43+E43+D43</f>
        <v>220011198.24</v>
      </c>
      <c r="H43" s="62"/>
      <c r="I43" s="254"/>
      <c r="J43" s="64" t="s">
        <v>40</v>
      </c>
      <c r="K43" s="62"/>
      <c r="L43" s="70">
        <f>'101 Mar REVISED'!P43</f>
        <v>125598072.76</v>
      </c>
      <c r="M43" s="70"/>
      <c r="N43" s="70">
        <f>+L25</f>
        <v>33295201.25</v>
      </c>
      <c r="O43" s="70"/>
      <c r="P43" s="71">
        <f>L43+N43</f>
        <v>158893274.01</v>
      </c>
      <c r="AB43" s="64"/>
      <c r="AC43" s="65"/>
    </row>
    <row r="44" spans="1:29" ht="16.5" thickBot="1">
      <c r="A44" s="74" t="s">
        <v>50</v>
      </c>
      <c r="B44" s="49"/>
      <c r="C44" s="75">
        <f>C41-C42-C43</f>
        <v>0</v>
      </c>
      <c r="D44" s="75">
        <f>D41-D42-D43</f>
        <v>0</v>
      </c>
      <c r="E44" s="75">
        <f>E41-E42-E43</f>
        <v>777375.2399999946</v>
      </c>
      <c r="F44" s="62"/>
      <c r="G44" s="75">
        <f>G41-G42-G43</f>
        <v>777375.2399999797</v>
      </c>
      <c r="H44" s="62"/>
      <c r="I44" s="254"/>
      <c r="J44" s="64" t="s">
        <v>41</v>
      </c>
      <c r="K44" s="62"/>
      <c r="L44" s="72">
        <f>L42-L43</f>
        <v>-113000072.76</v>
      </c>
      <c r="M44" s="70"/>
      <c r="N44" s="72">
        <f>N42-N43</f>
        <v>-23263201.25</v>
      </c>
      <c r="O44" s="70"/>
      <c r="P44" s="73">
        <f>P42-P43</f>
        <v>-136263274.01</v>
      </c>
      <c r="AB44" s="64"/>
      <c r="AC44" s="65"/>
    </row>
    <row r="45" spans="1:7" ht="16.5" thickTop="1">
      <c r="A45" s="69"/>
      <c r="B45" s="49"/>
      <c r="C45" s="62"/>
      <c r="D45" s="62"/>
      <c r="E45" s="62"/>
      <c r="F45" s="62"/>
      <c r="G45" s="63"/>
    </row>
    <row r="46" spans="1:7" ht="15.75">
      <c r="A46" s="69"/>
      <c r="B46" s="114"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sheetData>
  <sheetProtection/>
  <mergeCells count="28">
    <mergeCell ref="I38:I40"/>
    <mergeCell ref="R38:S38"/>
    <mergeCell ref="X38:Y38"/>
    <mergeCell ref="S15:W15"/>
    <mergeCell ref="X15:AB15"/>
    <mergeCell ref="H15:L15"/>
    <mergeCell ref="M15:Q15"/>
    <mergeCell ref="A17:B17"/>
    <mergeCell ref="A18:B18"/>
    <mergeCell ref="A15:B15"/>
    <mergeCell ref="C15:G15"/>
    <mergeCell ref="X37:Y37"/>
    <mergeCell ref="I42:I44"/>
    <mergeCell ref="I30:I32"/>
    <mergeCell ref="I34:I36"/>
    <mergeCell ref="A2:AC2"/>
    <mergeCell ref="A3:AC3"/>
    <mergeCell ref="A4:AC4"/>
    <mergeCell ref="A12:B14"/>
    <mergeCell ref="C12:G13"/>
    <mergeCell ref="H12:Q12"/>
    <mergeCell ref="R12:R14"/>
    <mergeCell ref="S12:W13"/>
    <mergeCell ref="X12:AB13"/>
    <mergeCell ref="AC12:AC14"/>
    <mergeCell ref="H13:L13"/>
    <mergeCell ref="M13:Q13"/>
    <mergeCell ref="A16:B16"/>
  </mergeCells>
  <printOptions horizontalCentered="1"/>
  <pageMargins left="0.159448818897638" right="0.159448818897638" top="0.2" bottom="0.21259842519685" header="0.5" footer="0.5"/>
  <pageSetup horizontalDpi="600" verticalDpi="600" orientation="landscape" paperSize="3" scale="60" r:id="rId1"/>
</worksheet>
</file>

<file path=xl/worksheets/sheet11.xml><?xml version="1.0" encoding="utf-8"?>
<worksheet xmlns="http://schemas.openxmlformats.org/spreadsheetml/2006/main" xmlns:r="http://schemas.openxmlformats.org/officeDocument/2006/relationships">
  <dimension ref="A1:AD54"/>
  <sheetViews>
    <sheetView zoomScalePageLayoutView="0" workbookViewId="0" topLeftCell="A16">
      <selection activeCell="D44" sqref="D44"/>
    </sheetView>
  </sheetViews>
  <sheetFormatPr defaultColWidth="11.00390625" defaultRowHeight="15.75"/>
  <cols>
    <col min="1" max="1" width="3.50390625" style="1" customWidth="1"/>
    <col min="2" max="2" width="24.50390625" style="1" customWidth="1"/>
    <col min="3" max="3" width="12.625" style="6" customWidth="1"/>
    <col min="4" max="4" width="13.375" style="6" customWidth="1"/>
    <col min="5" max="5" width="13.50390625" style="6" customWidth="1"/>
    <col min="6" max="6" width="10.75390625" style="6" customWidth="1"/>
    <col min="7" max="7" width="13.25390625" style="6" customWidth="1"/>
    <col min="8" max="8" width="12.375" style="6" customWidth="1"/>
    <col min="9" max="9" width="11.75390625" style="6" customWidth="1"/>
    <col min="10" max="10" width="10.375" style="6" customWidth="1"/>
    <col min="11" max="11" width="10.625" style="6" customWidth="1"/>
    <col min="12" max="12" width="13.50390625" style="6" customWidth="1"/>
    <col min="13" max="13" width="4.125" style="6" customWidth="1"/>
    <col min="14" max="14" width="13.25390625" style="6" customWidth="1"/>
    <col min="15" max="15" width="4.25390625" style="6" customWidth="1"/>
    <col min="16" max="16" width="12.50390625" style="6" customWidth="1"/>
    <col min="17" max="17" width="9.625" style="6" customWidth="1"/>
    <col min="18" max="18" width="13.375" style="6" customWidth="1"/>
    <col min="19" max="19" width="6.00390625" style="6" customWidth="1"/>
    <col min="20" max="20" width="6.50390625" style="6" customWidth="1"/>
    <col min="21" max="21" width="4.75390625" style="6" customWidth="1"/>
    <col min="22" max="22" width="6.75390625" style="6" customWidth="1"/>
    <col min="23" max="23" width="7.375" style="6" customWidth="1"/>
    <col min="24" max="24" width="13.25390625" style="6" customWidth="1"/>
    <col min="25" max="25" width="11.875" style="6" customWidth="1"/>
    <col min="26" max="26" width="10.875" style="6" customWidth="1"/>
    <col min="27" max="27" width="11.625" style="6" customWidth="1"/>
    <col min="28" max="28" width="11.875" style="6" customWidth="1"/>
    <col min="29" max="29" width="2.375" style="1" customWidth="1"/>
  </cols>
  <sheetData>
    <row r="1" spans="1:2" ht="15.75">
      <c r="A1" s="111" t="s">
        <v>87</v>
      </c>
      <c r="B1" s="110"/>
    </row>
    <row r="2" spans="1:29" ht="15.75">
      <c r="A2" s="301" t="s">
        <v>68</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29" ht="15.75">
      <c r="A3" s="301" t="s">
        <v>86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row>
    <row r="4" spans="1:29" ht="15.7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row>
    <row r="5" spans="1:23" ht="15.75">
      <c r="A5" s="2"/>
      <c r="B5" s="2"/>
      <c r="C5" s="3"/>
      <c r="D5" s="3"/>
      <c r="E5" s="3"/>
      <c r="F5" s="3"/>
      <c r="G5" s="3"/>
      <c r="H5" s="4"/>
      <c r="I5" s="4"/>
      <c r="J5" s="4"/>
      <c r="K5" s="5"/>
      <c r="L5" s="5"/>
      <c r="M5" s="5"/>
      <c r="N5" s="5"/>
      <c r="O5" s="5"/>
      <c r="P5" s="5"/>
      <c r="Q5" s="5"/>
      <c r="R5" s="5"/>
      <c r="S5" s="5"/>
      <c r="T5" s="4"/>
      <c r="U5" s="4"/>
      <c r="V5" s="4"/>
      <c r="W5" s="4"/>
    </row>
    <row r="6" spans="1:29" ht="15.75">
      <c r="A6" s="8" t="s">
        <v>0</v>
      </c>
      <c r="B6" s="9"/>
      <c r="C6" s="10"/>
      <c r="D6" s="10"/>
      <c r="E6" s="10"/>
      <c r="F6" s="10"/>
      <c r="G6" s="10"/>
      <c r="H6" s="10"/>
      <c r="I6" s="10"/>
      <c r="J6" s="10"/>
      <c r="K6" s="11"/>
      <c r="L6" s="11"/>
      <c r="M6" s="11"/>
      <c r="N6" s="11"/>
      <c r="O6" s="11"/>
      <c r="P6" s="11"/>
      <c r="Q6" s="11"/>
      <c r="R6" s="11"/>
      <c r="S6" s="11"/>
      <c r="T6" s="10"/>
      <c r="U6" s="10"/>
      <c r="V6" s="10"/>
      <c r="W6" s="10"/>
      <c r="X6" s="10"/>
      <c r="Y6" s="10"/>
      <c r="Z6" s="10"/>
      <c r="AA6" s="10"/>
      <c r="AB6" s="10"/>
      <c r="AC6"/>
    </row>
    <row r="7" spans="1:29" ht="15.75">
      <c r="A7" s="8" t="s">
        <v>1</v>
      </c>
      <c r="B7" s="9"/>
      <c r="C7" s="10"/>
      <c r="D7" s="10"/>
      <c r="E7" s="10"/>
      <c r="F7" s="8"/>
      <c r="G7" s="9"/>
      <c r="H7" s="10"/>
      <c r="I7" s="10"/>
      <c r="J7" s="10"/>
      <c r="K7" s="10"/>
      <c r="L7" s="10"/>
      <c r="M7" s="10"/>
      <c r="N7" s="10"/>
      <c r="O7" s="10"/>
      <c r="P7" s="10"/>
      <c r="Q7" s="10"/>
      <c r="R7" s="10"/>
      <c r="S7" s="10"/>
      <c r="T7" s="10"/>
      <c r="U7" s="10"/>
      <c r="V7" s="10"/>
      <c r="W7" s="10"/>
      <c r="X7" s="10"/>
      <c r="Y7" s="10"/>
      <c r="Z7" s="10"/>
      <c r="AA7" s="10"/>
      <c r="AB7" s="10"/>
      <c r="AC7"/>
    </row>
    <row r="8" spans="1:29" ht="15.75">
      <c r="A8" s="8" t="s">
        <v>2</v>
      </c>
      <c r="B8" s="9"/>
      <c r="C8" s="10"/>
      <c r="D8" s="10"/>
      <c r="E8" s="10"/>
      <c r="F8" s="8"/>
      <c r="G8" s="9"/>
      <c r="H8" s="10"/>
      <c r="I8" s="10"/>
      <c r="J8" s="10"/>
      <c r="K8" s="10"/>
      <c r="L8" s="10"/>
      <c r="M8" s="10"/>
      <c r="N8" s="10"/>
      <c r="O8" s="10"/>
      <c r="P8" s="10"/>
      <c r="Q8" s="10"/>
      <c r="R8" s="10"/>
      <c r="S8" s="10"/>
      <c r="T8" s="10"/>
      <c r="U8" s="10"/>
      <c r="V8" s="10"/>
      <c r="W8" s="10"/>
      <c r="X8" s="10"/>
      <c r="Y8" s="10"/>
      <c r="Z8" s="10"/>
      <c r="AA8" s="10"/>
      <c r="AB8" s="10"/>
      <c r="AC8"/>
    </row>
    <row r="9" spans="1:29" ht="15.75">
      <c r="A9" s="8" t="s">
        <v>79</v>
      </c>
      <c r="B9" s="9"/>
      <c r="C9" s="10"/>
      <c r="D9" s="10"/>
      <c r="E9" s="10"/>
      <c r="F9" s="10"/>
      <c r="G9" s="10"/>
      <c r="H9" s="10"/>
      <c r="I9" s="10"/>
      <c r="J9" s="10"/>
      <c r="K9" s="10"/>
      <c r="L9" s="10"/>
      <c r="M9" s="10"/>
      <c r="N9" s="10"/>
      <c r="O9" s="10"/>
      <c r="P9" s="10"/>
      <c r="Q9" s="10"/>
      <c r="R9" s="10"/>
      <c r="S9" s="10"/>
      <c r="T9" s="10"/>
      <c r="U9" s="10"/>
      <c r="V9" s="10"/>
      <c r="W9" s="10"/>
      <c r="X9" s="10"/>
      <c r="Y9" s="10"/>
      <c r="Z9" s="10"/>
      <c r="AA9" s="10"/>
      <c r="AB9" s="10"/>
      <c r="AC9"/>
    </row>
    <row r="10" spans="1:29" ht="15.75">
      <c r="A10" s="8" t="s">
        <v>78</v>
      </c>
      <c r="B10" s="9"/>
      <c r="C10"/>
      <c r="D10"/>
      <c r="E10"/>
      <c r="F10"/>
      <c r="G10"/>
      <c r="H10"/>
      <c r="I10"/>
      <c r="J10"/>
      <c r="K10"/>
      <c r="L10"/>
      <c r="M10"/>
      <c r="N10"/>
      <c r="O10"/>
      <c r="P10"/>
      <c r="Q10"/>
      <c r="R10"/>
      <c r="S10"/>
      <c r="T10"/>
      <c r="U10"/>
      <c r="V10"/>
      <c r="W10"/>
      <c r="X10"/>
      <c r="Y10"/>
      <c r="Z10"/>
      <c r="AA10"/>
      <c r="AB10"/>
      <c r="AC10"/>
    </row>
    <row r="11" spans="1:29" ht="16.5" thickBot="1">
      <c r="A11" s="8"/>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row>
    <row r="12" spans="1:29" ht="15.75">
      <c r="A12" s="302" t="s">
        <v>4</v>
      </c>
      <c r="B12" s="303"/>
      <c r="C12" s="308" t="s">
        <v>5</v>
      </c>
      <c r="D12" s="309"/>
      <c r="E12" s="309"/>
      <c r="F12" s="309"/>
      <c r="G12" s="310"/>
      <c r="H12" s="314" t="s">
        <v>6</v>
      </c>
      <c r="I12" s="315"/>
      <c r="J12" s="315"/>
      <c r="K12" s="315"/>
      <c r="L12" s="315"/>
      <c r="M12" s="315"/>
      <c r="N12" s="315"/>
      <c r="O12" s="315"/>
      <c r="P12" s="315"/>
      <c r="Q12" s="316"/>
      <c r="R12" s="317" t="s">
        <v>7</v>
      </c>
      <c r="S12" s="308" t="s">
        <v>8</v>
      </c>
      <c r="T12" s="309"/>
      <c r="U12" s="309"/>
      <c r="V12" s="309"/>
      <c r="W12" s="309"/>
      <c r="X12" s="308" t="s">
        <v>9</v>
      </c>
      <c r="Y12" s="309"/>
      <c r="Z12" s="309"/>
      <c r="AA12" s="309"/>
      <c r="AB12" s="310"/>
      <c r="AC12" s="323" t="s">
        <v>10</v>
      </c>
    </row>
    <row r="13" spans="1:29" ht="15.75">
      <c r="A13" s="304"/>
      <c r="B13" s="305"/>
      <c r="C13" s="311"/>
      <c r="D13" s="312"/>
      <c r="E13" s="312"/>
      <c r="F13" s="312"/>
      <c r="G13" s="313"/>
      <c r="H13" s="325" t="s">
        <v>57</v>
      </c>
      <c r="I13" s="326"/>
      <c r="J13" s="326"/>
      <c r="K13" s="326"/>
      <c r="L13" s="327"/>
      <c r="M13" s="325" t="s">
        <v>56</v>
      </c>
      <c r="N13" s="326"/>
      <c r="O13" s="326"/>
      <c r="P13" s="326"/>
      <c r="Q13" s="327"/>
      <c r="R13" s="318"/>
      <c r="S13" s="320"/>
      <c r="T13" s="321"/>
      <c r="U13" s="321"/>
      <c r="V13" s="321"/>
      <c r="W13" s="321"/>
      <c r="X13" s="320"/>
      <c r="Y13" s="321"/>
      <c r="Z13" s="321"/>
      <c r="AA13" s="321"/>
      <c r="AB13" s="322"/>
      <c r="AC13" s="324"/>
    </row>
    <row r="14" spans="1:29" ht="16.5" thickBot="1">
      <c r="A14" s="306"/>
      <c r="B14" s="307"/>
      <c r="C14" s="13" t="s">
        <v>11</v>
      </c>
      <c r="D14" s="14" t="s">
        <v>12</v>
      </c>
      <c r="E14" s="14" t="s">
        <v>13</v>
      </c>
      <c r="F14" s="14" t="s">
        <v>14</v>
      </c>
      <c r="G14" s="15" t="s">
        <v>15</v>
      </c>
      <c r="H14" s="16" t="s">
        <v>11</v>
      </c>
      <c r="I14" s="17" t="s">
        <v>12</v>
      </c>
      <c r="J14" s="18" t="s">
        <v>13</v>
      </c>
      <c r="K14" s="17" t="s">
        <v>14</v>
      </c>
      <c r="L14" s="19" t="s">
        <v>15</v>
      </c>
      <c r="M14" s="16" t="s">
        <v>11</v>
      </c>
      <c r="N14" s="17" t="s">
        <v>12</v>
      </c>
      <c r="O14" s="18" t="s">
        <v>13</v>
      </c>
      <c r="P14" s="17" t="s">
        <v>14</v>
      </c>
      <c r="Q14" s="19" t="s">
        <v>15</v>
      </c>
      <c r="R14" s="319"/>
      <c r="S14" s="16" t="s">
        <v>11</v>
      </c>
      <c r="T14" s="17" t="s">
        <v>12</v>
      </c>
      <c r="U14" s="17" t="s">
        <v>13</v>
      </c>
      <c r="V14" s="17" t="s">
        <v>14</v>
      </c>
      <c r="W14" s="20" t="s">
        <v>15</v>
      </c>
      <c r="X14" s="21" t="s">
        <v>11</v>
      </c>
      <c r="Y14" s="18" t="s">
        <v>12</v>
      </c>
      <c r="Z14" s="18" t="s">
        <v>13</v>
      </c>
      <c r="AA14" s="18" t="s">
        <v>14</v>
      </c>
      <c r="AB14" s="22" t="s">
        <v>15</v>
      </c>
      <c r="AC14" s="324"/>
    </row>
    <row r="15" spans="1:30" ht="16.5" thickBot="1">
      <c r="A15" s="260" t="s">
        <v>16</v>
      </c>
      <c r="B15" s="261"/>
      <c r="C15" s="255" t="s">
        <v>17</v>
      </c>
      <c r="D15" s="256"/>
      <c r="E15" s="256"/>
      <c r="F15" s="256"/>
      <c r="G15" s="262"/>
      <c r="H15" s="269" t="s">
        <v>18</v>
      </c>
      <c r="I15" s="256"/>
      <c r="J15" s="256"/>
      <c r="K15" s="256"/>
      <c r="L15" s="262"/>
      <c r="M15" s="269" t="s">
        <v>19</v>
      </c>
      <c r="N15" s="256"/>
      <c r="O15" s="256"/>
      <c r="P15" s="256"/>
      <c r="Q15" s="262"/>
      <c r="R15" s="31" t="s">
        <v>20</v>
      </c>
      <c r="S15" s="269" t="s">
        <v>21</v>
      </c>
      <c r="T15" s="256"/>
      <c r="U15" s="256"/>
      <c r="V15" s="256"/>
      <c r="W15" s="257"/>
      <c r="X15" s="255" t="s">
        <v>22</v>
      </c>
      <c r="Y15" s="256"/>
      <c r="Z15" s="256"/>
      <c r="AA15" s="256"/>
      <c r="AB15" s="257"/>
      <c r="AC15" s="32" t="s">
        <v>23</v>
      </c>
      <c r="AD15" t="s">
        <v>63</v>
      </c>
    </row>
    <row r="16" spans="1:29" ht="15.75">
      <c r="A16" s="248"/>
      <c r="B16" s="249"/>
      <c r="C16" s="33"/>
      <c r="D16" s="33"/>
      <c r="E16" s="33"/>
      <c r="F16" s="33"/>
      <c r="G16" s="33"/>
      <c r="H16" s="34"/>
      <c r="I16" s="33"/>
      <c r="J16" s="33"/>
      <c r="K16" s="33"/>
      <c r="L16" s="33"/>
      <c r="M16" s="34"/>
      <c r="N16" s="33"/>
      <c r="O16" s="33"/>
      <c r="P16" s="33"/>
      <c r="Q16" s="33"/>
      <c r="R16" s="34"/>
      <c r="S16" s="34"/>
      <c r="T16" s="33"/>
      <c r="U16" s="33"/>
      <c r="V16" s="33"/>
      <c r="W16" s="33"/>
      <c r="X16" s="34"/>
      <c r="Y16" s="33"/>
      <c r="Z16" s="33"/>
      <c r="AA16" s="33"/>
      <c r="AB16" s="35"/>
      <c r="AC16" s="36"/>
    </row>
    <row r="17" spans="1:29" ht="15.75">
      <c r="A17" s="250" t="s">
        <v>24</v>
      </c>
      <c r="B17" s="299"/>
      <c r="C17" s="37">
        <f>C18+C19</f>
        <v>7518681.77</v>
      </c>
      <c r="D17" s="37">
        <f>D18+D19</f>
        <v>7333550.87</v>
      </c>
      <c r="E17" s="37">
        <f>E18+E19</f>
        <v>3600</v>
      </c>
      <c r="F17" s="37">
        <f>F18+F19</f>
        <v>5527795.03</v>
      </c>
      <c r="G17" s="38">
        <f>SUM(C17:F17)</f>
        <v>20383627.67</v>
      </c>
      <c r="H17" s="37">
        <f>H18+H19</f>
        <v>420053.81</v>
      </c>
      <c r="I17" s="37">
        <f>I18+I19</f>
        <v>24264026.12</v>
      </c>
      <c r="J17" s="37">
        <f>J18+J19</f>
        <v>0</v>
      </c>
      <c r="K17" s="37">
        <f>K18+K19</f>
        <v>5919643.46</v>
      </c>
      <c r="L17" s="38">
        <f>SUM(H17:K17)</f>
        <v>30603723.39</v>
      </c>
      <c r="M17" s="37">
        <f>M18+M19</f>
        <v>0</v>
      </c>
      <c r="N17" s="37">
        <f>N18+N19</f>
        <v>0</v>
      </c>
      <c r="O17" s="37">
        <f>O18+O19</f>
        <v>0</v>
      </c>
      <c r="P17" s="37">
        <f>P18+P19</f>
        <v>0</v>
      </c>
      <c r="Q17" s="38">
        <f>SUM(M17:P17)</f>
        <v>0</v>
      </c>
      <c r="R17" s="39">
        <f>G17+L17+Q17</f>
        <v>50987351.06</v>
      </c>
      <c r="S17" s="37">
        <f>S18+S19</f>
        <v>0</v>
      </c>
      <c r="T17" s="37">
        <f>T18+T19</f>
        <v>0</v>
      </c>
      <c r="U17" s="37">
        <f>U18+U19</f>
        <v>0</v>
      </c>
      <c r="V17" s="37">
        <f>V18+V19</f>
        <v>0</v>
      </c>
      <c r="W17" s="38">
        <f>SUM(S17:V17)</f>
        <v>0</v>
      </c>
      <c r="X17" s="37">
        <f>X18+X19</f>
        <v>7938735.579999999</v>
      </c>
      <c r="Y17" s="37">
        <f>Y18+Y19</f>
        <v>31597576.990000002</v>
      </c>
      <c r="Z17" s="37">
        <f>Z18+Z19</f>
        <v>3600</v>
      </c>
      <c r="AA17" s="37">
        <f>AA18+AA19</f>
        <v>11447438.49</v>
      </c>
      <c r="AB17" s="38">
        <f>SUM(X17:AA17)</f>
        <v>50987351.06</v>
      </c>
      <c r="AC17" s="40"/>
    </row>
    <row r="18" spans="1:29" ht="15.75">
      <c r="A18" s="252" t="s">
        <v>25</v>
      </c>
      <c r="B18" s="300"/>
      <c r="C18" s="106">
        <f>6346988.93+248378.07+923314.77</f>
        <v>7518681.77</v>
      </c>
      <c r="D18" s="107">
        <v>6768056.73</v>
      </c>
      <c r="E18" s="41">
        <v>3600</v>
      </c>
      <c r="F18" s="41">
        <v>5527795.03</v>
      </c>
      <c r="G18" s="38">
        <f aca="true" t="shared" si="0" ref="G18:G24">SUM(C18:F18)</f>
        <v>19818133.53</v>
      </c>
      <c r="H18" s="91">
        <v>420053.81</v>
      </c>
      <c r="I18" s="92">
        <v>22386084.09</v>
      </c>
      <c r="J18" s="41"/>
      <c r="K18" s="41">
        <v>5919643.46</v>
      </c>
      <c r="L18" s="38">
        <f aca="true" t="shared" si="1" ref="L18:L24">SUM(H18:K18)</f>
        <v>28725781.36</v>
      </c>
      <c r="M18" s="41"/>
      <c r="N18" s="41"/>
      <c r="O18" s="41"/>
      <c r="P18" s="41"/>
      <c r="Q18" s="38">
        <f aca="true" t="shared" si="2" ref="Q18:Q24">SUM(M18:P18)</f>
        <v>0</v>
      </c>
      <c r="R18" s="39">
        <f aca="true" t="shared" si="3" ref="R18:R24">G18+L18+Q18</f>
        <v>48543914.89</v>
      </c>
      <c r="S18" s="41"/>
      <c r="T18" s="41"/>
      <c r="U18" s="41"/>
      <c r="V18" s="41"/>
      <c r="W18" s="38">
        <f aca="true" t="shared" si="4" ref="W18:W24">SUM(S18:V18)</f>
        <v>0</v>
      </c>
      <c r="X18" s="41">
        <f>C18+H18+M18+S18</f>
        <v>7938735.579999999</v>
      </c>
      <c r="Y18" s="41">
        <f aca="true" t="shared" si="5" ref="Y18:AA24">D18+I18+N18+T18</f>
        <v>29154140.82</v>
      </c>
      <c r="Z18" s="41">
        <f t="shared" si="5"/>
        <v>3600</v>
      </c>
      <c r="AA18" s="41">
        <f t="shared" si="5"/>
        <v>11447438.49</v>
      </c>
      <c r="AB18" s="38">
        <f aca="true" t="shared" si="6" ref="AB18:AB24">SUM(X18:AA18)</f>
        <v>48543914.89</v>
      </c>
      <c r="AC18" s="42"/>
    </row>
    <row r="19" spans="1:29" ht="15.75">
      <c r="A19" s="103" t="s">
        <v>26</v>
      </c>
      <c r="B19" s="44"/>
      <c r="C19" s="41"/>
      <c r="D19" s="88">
        <v>565494.14</v>
      </c>
      <c r="E19" s="41"/>
      <c r="F19" s="41"/>
      <c r="G19" s="38">
        <f t="shared" si="0"/>
        <v>565494.14</v>
      </c>
      <c r="H19" s="41"/>
      <c r="I19" s="88">
        <v>1877942.03</v>
      </c>
      <c r="J19" s="41"/>
      <c r="K19" s="41"/>
      <c r="L19" s="38">
        <f t="shared" si="1"/>
        <v>1877942.03</v>
      </c>
      <c r="M19" s="41"/>
      <c r="N19" s="41"/>
      <c r="O19" s="41"/>
      <c r="P19" s="41"/>
      <c r="Q19" s="38">
        <f t="shared" si="2"/>
        <v>0</v>
      </c>
      <c r="R19" s="39">
        <f t="shared" si="3"/>
        <v>2443436.17</v>
      </c>
      <c r="S19" s="41"/>
      <c r="T19" s="41"/>
      <c r="U19" s="41"/>
      <c r="V19" s="41"/>
      <c r="W19" s="38">
        <f t="shared" si="4"/>
        <v>0</v>
      </c>
      <c r="X19" s="41">
        <f aca="true" t="shared" si="7" ref="X19:X24">C19+H19+M19+S19</f>
        <v>0</v>
      </c>
      <c r="Y19" s="41">
        <f t="shared" si="5"/>
        <v>2443436.17</v>
      </c>
      <c r="Z19" s="41">
        <f t="shared" si="5"/>
        <v>0</v>
      </c>
      <c r="AA19" s="41">
        <f t="shared" si="5"/>
        <v>0</v>
      </c>
      <c r="AB19" s="38">
        <f t="shared" si="6"/>
        <v>2443436.17</v>
      </c>
      <c r="AC19" s="42"/>
    </row>
    <row r="20" spans="1:29" ht="15.75">
      <c r="A20" s="102" t="s">
        <v>27</v>
      </c>
      <c r="B20" s="44"/>
      <c r="C20" s="41"/>
      <c r="D20" s="41"/>
      <c r="E20" s="41"/>
      <c r="F20" s="41"/>
      <c r="G20" s="38">
        <f t="shared" si="0"/>
        <v>0</v>
      </c>
      <c r="H20" s="41"/>
      <c r="I20" s="41"/>
      <c r="J20" s="41"/>
      <c r="K20" s="41"/>
      <c r="L20" s="38">
        <f t="shared" si="1"/>
        <v>0</v>
      </c>
      <c r="M20" s="41"/>
      <c r="N20" s="41"/>
      <c r="O20" s="41"/>
      <c r="P20" s="41"/>
      <c r="Q20" s="38">
        <f t="shared" si="2"/>
        <v>0</v>
      </c>
      <c r="R20" s="39">
        <f t="shared" si="3"/>
        <v>0</v>
      </c>
      <c r="S20" s="41"/>
      <c r="T20" s="41"/>
      <c r="U20" s="41"/>
      <c r="V20" s="41"/>
      <c r="W20" s="38">
        <f t="shared" si="4"/>
        <v>0</v>
      </c>
      <c r="X20" s="41">
        <f t="shared" si="7"/>
        <v>0</v>
      </c>
      <c r="Y20" s="41">
        <f t="shared" si="5"/>
        <v>0</v>
      </c>
      <c r="Z20" s="41">
        <f t="shared" si="5"/>
        <v>0</v>
      </c>
      <c r="AA20" s="41">
        <f t="shared" si="5"/>
        <v>0</v>
      </c>
      <c r="AB20" s="38">
        <f t="shared" si="6"/>
        <v>0</v>
      </c>
      <c r="AC20" s="42"/>
    </row>
    <row r="21" spans="1:29" ht="15.75">
      <c r="A21" s="102" t="s">
        <v>28</v>
      </c>
      <c r="B21" s="104"/>
      <c r="C21" s="108">
        <v>647072.42</v>
      </c>
      <c r="D21" s="109">
        <v>53191.2</v>
      </c>
      <c r="E21" s="41"/>
      <c r="F21" s="41"/>
      <c r="G21" s="38">
        <f t="shared" si="0"/>
        <v>700263.62</v>
      </c>
      <c r="H21" s="41"/>
      <c r="I21" s="85">
        <v>419438.05</v>
      </c>
      <c r="J21" s="41"/>
      <c r="K21" s="41">
        <v>255821.42</v>
      </c>
      <c r="L21" s="38">
        <f t="shared" si="1"/>
        <v>675259.47</v>
      </c>
      <c r="M21" s="86"/>
      <c r="N21" s="87"/>
      <c r="O21" s="41"/>
      <c r="P21" s="41"/>
      <c r="Q21" s="38">
        <f t="shared" si="2"/>
        <v>0</v>
      </c>
      <c r="R21" s="39">
        <f t="shared" si="3"/>
        <v>1375523.0899999999</v>
      </c>
      <c r="S21" s="41"/>
      <c r="T21" s="41"/>
      <c r="U21" s="41"/>
      <c r="V21" s="41"/>
      <c r="W21" s="38">
        <f t="shared" si="4"/>
        <v>0</v>
      </c>
      <c r="X21" s="41">
        <f t="shared" si="7"/>
        <v>647072.42</v>
      </c>
      <c r="Y21" s="41">
        <f t="shared" si="5"/>
        <v>472629.25</v>
      </c>
      <c r="Z21" s="41">
        <f t="shared" si="5"/>
        <v>0</v>
      </c>
      <c r="AA21" s="41">
        <f t="shared" si="5"/>
        <v>255821.42</v>
      </c>
      <c r="AB21" s="38">
        <f t="shared" si="6"/>
        <v>1375523.0899999999</v>
      </c>
      <c r="AC21" s="42"/>
    </row>
    <row r="22" spans="1:29" ht="15.75">
      <c r="A22" s="102" t="s">
        <v>29</v>
      </c>
      <c r="B22" s="104"/>
      <c r="C22" s="41"/>
      <c r="D22" s="41"/>
      <c r="E22" s="41"/>
      <c r="F22" s="41"/>
      <c r="G22" s="38">
        <f t="shared" si="0"/>
        <v>0</v>
      </c>
      <c r="H22" s="41"/>
      <c r="I22" s="41"/>
      <c r="J22" s="41"/>
      <c r="K22" s="41"/>
      <c r="L22" s="38">
        <f t="shared" si="1"/>
        <v>0</v>
      </c>
      <c r="M22" s="41"/>
      <c r="N22" s="41"/>
      <c r="O22" s="41"/>
      <c r="P22" s="41"/>
      <c r="Q22" s="38">
        <f t="shared" si="2"/>
        <v>0</v>
      </c>
      <c r="R22" s="39">
        <f t="shared" si="3"/>
        <v>0</v>
      </c>
      <c r="S22" s="41"/>
      <c r="T22" s="41"/>
      <c r="U22" s="41"/>
      <c r="V22" s="41"/>
      <c r="W22" s="38">
        <f t="shared" si="4"/>
        <v>0</v>
      </c>
      <c r="X22" s="41">
        <f t="shared" si="7"/>
        <v>0</v>
      </c>
      <c r="Y22" s="41">
        <f t="shared" si="5"/>
        <v>0</v>
      </c>
      <c r="Z22" s="41">
        <f t="shared" si="5"/>
        <v>0</v>
      </c>
      <c r="AA22" s="41">
        <f t="shared" si="5"/>
        <v>0</v>
      </c>
      <c r="AB22" s="38">
        <f t="shared" si="6"/>
        <v>0</v>
      </c>
      <c r="AC22" s="42"/>
    </row>
    <row r="23" spans="1:29" ht="15.75">
      <c r="A23" s="102" t="s">
        <v>30</v>
      </c>
      <c r="B23" s="104"/>
      <c r="C23" s="41"/>
      <c r="D23" s="41"/>
      <c r="E23" s="41"/>
      <c r="F23" s="41"/>
      <c r="G23" s="38">
        <f t="shared" si="0"/>
        <v>0</v>
      </c>
      <c r="H23" s="41"/>
      <c r="I23" s="41"/>
      <c r="J23" s="41"/>
      <c r="K23" s="41"/>
      <c r="L23" s="38">
        <f t="shared" si="1"/>
        <v>0</v>
      </c>
      <c r="M23" s="41"/>
      <c r="N23" s="41"/>
      <c r="O23" s="41"/>
      <c r="P23" s="41"/>
      <c r="Q23" s="38">
        <f t="shared" si="2"/>
        <v>0</v>
      </c>
      <c r="R23" s="39">
        <f t="shared" si="3"/>
        <v>0</v>
      </c>
      <c r="S23" s="41"/>
      <c r="T23" s="41"/>
      <c r="U23" s="41"/>
      <c r="V23" s="41"/>
      <c r="W23" s="38">
        <f t="shared" si="4"/>
        <v>0</v>
      </c>
      <c r="X23" s="41">
        <f t="shared" si="7"/>
        <v>0</v>
      </c>
      <c r="Y23" s="41">
        <f t="shared" si="5"/>
        <v>0</v>
      </c>
      <c r="Z23" s="41">
        <f t="shared" si="5"/>
        <v>0</v>
      </c>
      <c r="AA23" s="41">
        <f t="shared" si="5"/>
        <v>0</v>
      </c>
      <c r="AB23" s="38">
        <f t="shared" si="6"/>
        <v>0</v>
      </c>
      <c r="AC23" s="42"/>
    </row>
    <row r="24" spans="1:29" ht="15.75">
      <c r="A24" s="102" t="s">
        <v>31</v>
      </c>
      <c r="B24" s="104"/>
      <c r="C24" s="41"/>
      <c r="D24" s="41"/>
      <c r="E24" s="41"/>
      <c r="F24" s="41"/>
      <c r="G24" s="38">
        <f t="shared" si="0"/>
        <v>0</v>
      </c>
      <c r="H24" s="41"/>
      <c r="I24" s="41"/>
      <c r="J24" s="41"/>
      <c r="K24" s="41"/>
      <c r="L24" s="38">
        <f t="shared" si="1"/>
        <v>0</v>
      </c>
      <c r="M24" s="41"/>
      <c r="N24" s="41"/>
      <c r="O24" s="41"/>
      <c r="P24" s="41"/>
      <c r="Q24" s="38">
        <f t="shared" si="2"/>
        <v>0</v>
      </c>
      <c r="R24" s="39">
        <f t="shared" si="3"/>
        <v>0</v>
      </c>
      <c r="S24" s="41"/>
      <c r="T24" s="41"/>
      <c r="U24" s="41"/>
      <c r="V24" s="41"/>
      <c r="W24" s="38">
        <f t="shared" si="4"/>
        <v>0</v>
      </c>
      <c r="X24" s="41">
        <f t="shared" si="7"/>
        <v>0</v>
      </c>
      <c r="Y24" s="41">
        <f t="shared" si="5"/>
        <v>0</v>
      </c>
      <c r="Z24" s="41">
        <f t="shared" si="5"/>
        <v>0</v>
      </c>
      <c r="AA24" s="41">
        <f t="shared" si="5"/>
        <v>0</v>
      </c>
      <c r="AB24" s="38">
        <f t="shared" si="6"/>
        <v>0</v>
      </c>
      <c r="AC24" s="42"/>
    </row>
    <row r="25" spans="1:29" ht="16.5" thickBot="1">
      <c r="A25" s="47"/>
      <c r="B25" s="104" t="s">
        <v>32</v>
      </c>
      <c r="C25" s="48">
        <f>C17+C21+C22+C24+C20+C23</f>
        <v>8165754.1899999995</v>
      </c>
      <c r="D25" s="48">
        <f>D17+D21+D22+D24+D20+D23</f>
        <v>7386742.07</v>
      </c>
      <c r="E25" s="48">
        <f>E17+E21+E22+E24+E20+E23</f>
        <v>3600</v>
      </c>
      <c r="F25" s="48">
        <f>F17+F21+F22+F24+F20+F23</f>
        <v>5527795.03</v>
      </c>
      <c r="G25" s="48">
        <f>G17+G21+G22+G24+G20+G23</f>
        <v>21083891.290000003</v>
      </c>
      <c r="H25" s="48">
        <f>H17+H21+H22+H24+H20+H23</f>
        <v>420053.81</v>
      </c>
      <c r="I25" s="48">
        <f>I17+I21+I22+I24+I20+I23</f>
        <v>24683464.17</v>
      </c>
      <c r="J25" s="48">
        <f>J17+J21+J22+J24+J20+J23</f>
        <v>0</v>
      </c>
      <c r="K25" s="48">
        <f>K17+K21+K22+K24+K20+K23</f>
        <v>6175464.88</v>
      </c>
      <c r="L25" s="48">
        <f>L17+L21+L22+L24+L20+L23</f>
        <v>31278982.86</v>
      </c>
      <c r="M25" s="48">
        <f>M17+M21+M22+M24+M20+M23</f>
        <v>0</v>
      </c>
      <c r="N25" s="48">
        <f>N17+N21+N22+N24+N20+N23</f>
        <v>0</v>
      </c>
      <c r="O25" s="48">
        <f>O17+O21+O22+O24+O20+O23</f>
        <v>0</v>
      </c>
      <c r="P25" s="48">
        <f>P17+P21+P22+P24+P20+P23</f>
        <v>0</v>
      </c>
      <c r="Q25" s="48">
        <f>Q17+Q21+Q22+Q24+Q20+Q23</f>
        <v>0</v>
      </c>
      <c r="R25" s="48">
        <f>R17+R21+R22+R24</f>
        <v>52362874.150000006</v>
      </c>
      <c r="S25" s="48">
        <f>S17+S21+S22+S24+S20+S23</f>
        <v>0</v>
      </c>
      <c r="T25" s="48">
        <f>T17+T21+T22+T24+T20+T23</f>
        <v>0</v>
      </c>
      <c r="U25" s="48">
        <f>U17+U21+U22+U24+U20+U23</f>
        <v>0</v>
      </c>
      <c r="V25" s="48">
        <f>V17+V21+V22+V24+V20+V23</f>
        <v>0</v>
      </c>
      <c r="W25" s="48">
        <f>W17+W21+W22+W24+W20+W23</f>
        <v>0</v>
      </c>
      <c r="X25" s="48">
        <f>X17+X21+X22+X24+X20+X23</f>
        <v>8585808</v>
      </c>
      <c r="Y25" s="48">
        <f>Y17+Y21+Y22+Y24+Y20+Y23</f>
        <v>32070206.240000002</v>
      </c>
      <c r="Z25" s="48">
        <f>Z17+Z21+Z22+Z24+Z20+Z23</f>
        <v>3600</v>
      </c>
      <c r="AA25" s="48">
        <f>AA17+AA21+AA22+AA24+AA20+AA23</f>
        <v>11703259.91</v>
      </c>
      <c r="AB25" s="48">
        <f>AB17+AB21+AB22+AB24+AB20+AB23</f>
        <v>52362874.150000006</v>
      </c>
      <c r="AC25" s="42"/>
    </row>
    <row r="26" spans="1:29" ht="17.25" thickBot="1" thickTop="1">
      <c r="A26" s="47"/>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04" t="s">
        <v>33</v>
      </c>
      <c r="B28" s="60"/>
      <c r="C28" s="61"/>
      <c r="D28" s="61"/>
      <c r="E28" s="61"/>
      <c r="F28" s="61"/>
      <c r="G28" s="61"/>
      <c r="H28" s="62"/>
      <c r="I28" s="62"/>
      <c r="J28" s="62"/>
      <c r="K28" s="62"/>
      <c r="L28" s="63"/>
      <c r="M28" s="63"/>
      <c r="N28" s="63"/>
      <c r="O28" s="63"/>
      <c r="P28" s="63"/>
      <c r="Q28" s="63"/>
      <c r="R28" s="63"/>
      <c r="S28" s="64"/>
      <c r="T28" s="61"/>
      <c r="U28" s="61"/>
      <c r="V28" s="61"/>
      <c r="W28" s="61"/>
      <c r="X28" s="61"/>
      <c r="Y28" s="61"/>
      <c r="Z28" s="61"/>
      <c r="AA28" s="61"/>
      <c r="AB28" s="61"/>
      <c r="AC28" s="65"/>
    </row>
    <row r="29" spans="1:29" ht="26.25">
      <c r="A29" s="104"/>
      <c r="B29" s="60"/>
      <c r="C29" s="78" t="s">
        <v>62</v>
      </c>
      <c r="D29" s="78" t="s">
        <v>34</v>
      </c>
      <c r="E29" s="78" t="s">
        <v>35</v>
      </c>
      <c r="F29" s="79"/>
      <c r="G29" s="78" t="s">
        <v>36</v>
      </c>
      <c r="H29" s="62"/>
      <c r="I29" s="62"/>
      <c r="J29" s="62"/>
      <c r="K29" s="62"/>
      <c r="L29" s="78" t="s">
        <v>34</v>
      </c>
      <c r="M29" s="78"/>
      <c r="N29" s="78" t="s">
        <v>35</v>
      </c>
      <c r="O29" s="79"/>
      <c r="P29" s="78" t="s">
        <v>36</v>
      </c>
      <c r="AB29" s="61"/>
      <c r="AC29" s="65"/>
    </row>
    <row r="30" spans="1:29" ht="15.75">
      <c r="A30" s="66" t="s">
        <v>37</v>
      </c>
      <c r="B30" s="60"/>
      <c r="C30" s="62">
        <f>SUM(C31:C36)</f>
        <v>0</v>
      </c>
      <c r="D30" s="62">
        <f>SUM(D31:D36)</f>
        <v>111674326.95</v>
      </c>
      <c r="E30" s="62">
        <f>SUM(E31:E36)</f>
        <v>50537217.09</v>
      </c>
      <c r="F30" s="62"/>
      <c r="G30" s="62">
        <f>SUM(G31:G36)</f>
        <v>162211544.04</v>
      </c>
      <c r="H30" s="62"/>
      <c r="I30" s="254" t="s">
        <v>52</v>
      </c>
      <c r="J30" s="67" t="s">
        <v>38</v>
      </c>
      <c r="K30" s="62"/>
      <c r="L30" s="68">
        <f>+L34+L38+L42</f>
        <v>106824000</v>
      </c>
      <c r="M30" s="68"/>
      <c r="N30" s="68">
        <v>49161694</v>
      </c>
      <c r="O30" s="68"/>
      <c r="P30" s="68">
        <f>L30+N30</f>
        <v>155985694</v>
      </c>
      <c r="AB30" s="64"/>
      <c r="AC30" s="65"/>
    </row>
    <row r="31" spans="1:29" ht="15.75">
      <c r="A31" s="69"/>
      <c r="B31" s="66" t="s">
        <v>39</v>
      </c>
      <c r="C31" s="68"/>
      <c r="D31" s="68">
        <v>106824000</v>
      </c>
      <c r="E31" s="62">
        <v>49161694</v>
      </c>
      <c r="F31" s="62"/>
      <c r="G31" s="63">
        <f>C31+E31+D31</f>
        <v>155985694</v>
      </c>
      <c r="H31" s="62"/>
      <c r="I31" s="254"/>
      <c r="J31" s="64" t="s">
        <v>40</v>
      </c>
      <c r="K31" s="62"/>
      <c r="L31" s="70">
        <v>109848272.92000002</v>
      </c>
      <c r="M31" s="70"/>
      <c r="N31" s="70">
        <f>+N35+N39+N43</f>
        <v>52362874.150000006</v>
      </c>
      <c r="O31" s="70"/>
      <c r="P31" s="71">
        <f>L31+N31</f>
        <v>162211147.07000002</v>
      </c>
      <c r="AB31" s="64"/>
      <c r="AC31" s="65"/>
    </row>
    <row r="32" spans="1:29" ht="16.5" thickBot="1">
      <c r="A32" s="69"/>
      <c r="B32" s="66" t="s">
        <v>67</v>
      </c>
      <c r="C32" s="62"/>
      <c r="D32" s="62"/>
      <c r="E32" s="62"/>
      <c r="F32" s="62"/>
      <c r="G32" s="63">
        <f aca="true" t="shared" si="8" ref="G32:G38">C32+E32+D32</f>
        <v>0</v>
      </c>
      <c r="H32" s="62"/>
      <c r="I32" s="254"/>
      <c r="J32" s="64" t="s">
        <v>41</v>
      </c>
      <c r="K32" s="62"/>
      <c r="L32" s="72">
        <f>L30-L31</f>
        <v>-3024272.9200000167</v>
      </c>
      <c r="M32" s="70"/>
      <c r="N32" s="72">
        <f>N30-N31</f>
        <v>-3201180.150000006</v>
      </c>
      <c r="O32" s="70"/>
      <c r="P32" s="73">
        <f>P30-P31</f>
        <v>-6225453.070000023</v>
      </c>
      <c r="AB32" s="64"/>
      <c r="AC32" s="65"/>
    </row>
    <row r="33" spans="1:29" ht="16.5" thickTop="1">
      <c r="A33" s="69"/>
      <c r="B33" s="66" t="s">
        <v>42</v>
      </c>
      <c r="C33" s="62"/>
      <c r="D33" s="62">
        <v>4850326.95</v>
      </c>
      <c r="E33" s="62">
        <f>+AB21</f>
        <v>1375523.0899999999</v>
      </c>
      <c r="F33" s="62"/>
      <c r="G33" s="63">
        <f t="shared" si="8"/>
        <v>6225850.04</v>
      </c>
      <c r="H33" s="62"/>
      <c r="I33" s="76"/>
      <c r="J33" s="64"/>
      <c r="K33" s="62"/>
      <c r="L33" s="64"/>
      <c r="M33" s="64"/>
      <c r="N33" s="64"/>
      <c r="O33" s="64"/>
      <c r="P33" s="64"/>
      <c r="R33" s="77" t="s">
        <v>58</v>
      </c>
      <c r="X33" s="77" t="s">
        <v>60</v>
      </c>
      <c r="AB33" s="64"/>
      <c r="AC33" s="65"/>
    </row>
    <row r="34" spans="1:29" ht="15" customHeight="1">
      <c r="A34" s="69"/>
      <c r="B34" s="66" t="s">
        <v>43</v>
      </c>
      <c r="C34" s="62"/>
      <c r="D34" s="62"/>
      <c r="E34" s="62"/>
      <c r="F34" s="62"/>
      <c r="G34" s="63">
        <f t="shared" si="8"/>
        <v>0</v>
      </c>
      <c r="H34" s="62"/>
      <c r="I34" s="254" t="s">
        <v>53</v>
      </c>
      <c r="J34" s="67" t="s">
        <v>38</v>
      </c>
      <c r="K34" s="62"/>
      <c r="L34" s="68">
        <v>94226000</v>
      </c>
      <c r="M34" s="68"/>
      <c r="N34" s="68">
        <v>49161694</v>
      </c>
      <c r="O34" s="68"/>
      <c r="P34" s="68">
        <f>L34+N34</f>
        <v>143387694</v>
      </c>
      <c r="AB34" s="64"/>
      <c r="AC34" s="65"/>
    </row>
    <row r="35" spans="1:29" ht="15.75">
      <c r="A35" s="69"/>
      <c r="B35" s="66" t="s">
        <v>44</v>
      </c>
      <c r="C35" s="62"/>
      <c r="D35" s="62"/>
      <c r="E35" s="62"/>
      <c r="F35" s="62"/>
      <c r="G35" s="63">
        <f t="shared" si="8"/>
        <v>0</v>
      </c>
      <c r="H35" s="62"/>
      <c r="I35" s="254"/>
      <c r="J35" s="64" t="s">
        <v>40</v>
      </c>
      <c r="K35" s="62"/>
      <c r="L35" s="70">
        <v>15529183.02</v>
      </c>
      <c r="M35" s="70"/>
      <c r="N35" s="70">
        <f>+G25</f>
        <v>21083891.290000003</v>
      </c>
      <c r="O35" s="70"/>
      <c r="P35" s="71">
        <f>L35+N35</f>
        <v>36613074.31</v>
      </c>
      <c r="AB35" s="64"/>
      <c r="AC35" s="65"/>
    </row>
    <row r="36" spans="1:29" ht="16.5" thickBot="1">
      <c r="A36" s="69"/>
      <c r="B36" s="66" t="s">
        <v>45</v>
      </c>
      <c r="C36" s="62"/>
      <c r="D36" s="62"/>
      <c r="E36" s="62"/>
      <c r="F36" s="62"/>
      <c r="G36" s="63">
        <f t="shared" si="8"/>
        <v>0</v>
      </c>
      <c r="H36" s="62"/>
      <c r="I36" s="254"/>
      <c r="J36" s="64" t="s">
        <v>41</v>
      </c>
      <c r="K36" s="62"/>
      <c r="L36" s="72">
        <v>78696816.98</v>
      </c>
      <c r="M36" s="70"/>
      <c r="N36" s="72">
        <f>N34-N35</f>
        <v>28077802.709999997</v>
      </c>
      <c r="O36" s="70"/>
      <c r="P36" s="73">
        <f>P34-P35</f>
        <v>106774619.69</v>
      </c>
      <c r="AB36" s="64"/>
      <c r="AC36" s="65"/>
    </row>
    <row r="37" spans="1:29" ht="16.5" thickTop="1">
      <c r="A37" s="74" t="s">
        <v>46</v>
      </c>
      <c r="B37" s="66"/>
      <c r="C37" s="62"/>
      <c r="D37" s="62"/>
      <c r="E37" s="62"/>
      <c r="F37" s="62"/>
      <c r="G37" s="63">
        <f t="shared" si="8"/>
        <v>0</v>
      </c>
      <c r="H37" s="62"/>
      <c r="I37" s="76"/>
      <c r="J37" s="64"/>
      <c r="K37" s="62"/>
      <c r="L37" s="64"/>
      <c r="M37" s="64"/>
      <c r="N37" s="64"/>
      <c r="O37" s="64"/>
      <c r="P37" s="64"/>
      <c r="R37" s="77" t="s">
        <v>81</v>
      </c>
      <c r="X37" s="328" t="s">
        <v>85</v>
      </c>
      <c r="Y37" s="328"/>
      <c r="AB37" s="64"/>
      <c r="AC37" s="65"/>
    </row>
    <row r="38" spans="1:29" ht="15" customHeight="1">
      <c r="A38" s="74" t="s">
        <v>47</v>
      </c>
      <c r="B38" s="66"/>
      <c r="C38" s="62"/>
      <c r="D38" s="62"/>
      <c r="E38" s="62"/>
      <c r="F38" s="62"/>
      <c r="G38" s="63">
        <f t="shared" si="8"/>
        <v>0</v>
      </c>
      <c r="H38" s="62"/>
      <c r="I38" s="254" t="s">
        <v>54</v>
      </c>
      <c r="J38" s="67" t="s">
        <v>38</v>
      </c>
      <c r="K38" s="62"/>
      <c r="L38" s="68"/>
      <c r="M38" s="68"/>
      <c r="N38" s="68"/>
      <c r="O38" s="68"/>
      <c r="P38" s="68">
        <f>L38+N38</f>
        <v>0</v>
      </c>
      <c r="R38" s="329" t="s">
        <v>59</v>
      </c>
      <c r="S38" s="329"/>
      <c r="X38" s="329" t="s">
        <v>61</v>
      </c>
      <c r="Y38" s="329"/>
      <c r="AB38" s="64"/>
      <c r="AC38" s="65"/>
    </row>
    <row r="39" spans="2:29" ht="15.75">
      <c r="B39" s="74" t="s">
        <v>65</v>
      </c>
      <c r="C39" s="62"/>
      <c r="D39" s="62"/>
      <c r="E39" s="62"/>
      <c r="F39" s="62"/>
      <c r="G39" s="63">
        <f>C39+E39+D39</f>
        <v>0</v>
      </c>
      <c r="H39" s="62"/>
      <c r="I39" s="254"/>
      <c r="J39" s="64" t="s">
        <v>40</v>
      </c>
      <c r="K39" s="62"/>
      <c r="L39" s="70"/>
      <c r="M39" s="70"/>
      <c r="N39" s="70">
        <f>+Q25</f>
        <v>0</v>
      </c>
      <c r="O39" s="70"/>
      <c r="P39" s="71">
        <f>L39+N39</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3">
        <f>P38-P39</f>
        <v>0</v>
      </c>
      <c r="AB40" s="64"/>
      <c r="AC40" s="65"/>
    </row>
    <row r="41" spans="1:29" ht="16.5" thickTop="1">
      <c r="A41" s="66" t="s">
        <v>48</v>
      </c>
      <c r="B41" s="66"/>
      <c r="C41" s="62">
        <f>C30-C37+C38-C39+C40</f>
        <v>0</v>
      </c>
      <c r="D41" s="62">
        <f>D30-D37+D38-D39+D40</f>
        <v>111674326.95</v>
      </c>
      <c r="E41" s="62">
        <f>E30-E37+E38-E39+E40</f>
        <v>50537217.09</v>
      </c>
      <c r="F41" s="62"/>
      <c r="G41" s="62">
        <f>G30-G37+G38-G39+G40</f>
        <v>162211544.04</v>
      </c>
      <c r="H41" s="62"/>
      <c r="I41" s="76"/>
      <c r="J41" s="64"/>
      <c r="K41" s="62"/>
      <c r="L41" s="64"/>
      <c r="M41" s="64"/>
      <c r="N41" s="64"/>
      <c r="O41" s="64"/>
      <c r="P41" s="64"/>
      <c r="AB41" s="64"/>
      <c r="AC41" s="65"/>
    </row>
    <row r="42" spans="1:29" ht="15" customHeight="1">
      <c r="A42" s="74" t="s">
        <v>51</v>
      </c>
      <c r="B42" s="66"/>
      <c r="C42" s="62"/>
      <c r="D42" s="62"/>
      <c r="E42" s="62">
        <v>396.97</v>
      </c>
      <c r="F42" s="62"/>
      <c r="G42" s="63">
        <f>C42+E42+D42</f>
        <v>396.97</v>
      </c>
      <c r="H42" s="62"/>
      <c r="I42" s="254" t="s">
        <v>55</v>
      </c>
      <c r="J42" s="67" t="s">
        <v>38</v>
      </c>
      <c r="K42" s="62"/>
      <c r="L42" s="68">
        <v>12598000</v>
      </c>
      <c r="M42" s="68"/>
      <c r="N42" s="68">
        <v>0</v>
      </c>
      <c r="O42" s="68"/>
      <c r="P42" s="68">
        <f>L42+N42</f>
        <v>12598000</v>
      </c>
      <c r="AB42" s="64"/>
      <c r="AC42" s="65"/>
    </row>
    <row r="43" spans="1:29" ht="15.75">
      <c r="A43" s="69"/>
      <c r="B43" s="66" t="s">
        <v>49</v>
      </c>
      <c r="C43" s="62"/>
      <c r="D43" s="62">
        <v>109848272.92</v>
      </c>
      <c r="E43" s="62">
        <f>AB25</f>
        <v>52362874.150000006</v>
      </c>
      <c r="F43" s="62"/>
      <c r="G43" s="63">
        <f>C43+E43+D43</f>
        <v>162211147.07</v>
      </c>
      <c r="H43" s="25"/>
      <c r="I43" s="254"/>
      <c r="J43" s="64" t="s">
        <v>40</v>
      </c>
      <c r="K43" s="25"/>
      <c r="L43" s="70">
        <v>94319089.9</v>
      </c>
      <c r="M43" s="70"/>
      <c r="N43" s="70">
        <f>+L25</f>
        <v>31278982.86</v>
      </c>
      <c r="O43" s="70"/>
      <c r="P43" s="71">
        <f>L43+N43</f>
        <v>125598072.76</v>
      </c>
      <c r="AB43" s="27"/>
      <c r="AC43" s="28"/>
    </row>
    <row r="44" spans="1:29" ht="16.5" thickBot="1">
      <c r="A44" s="74" t="s">
        <v>50</v>
      </c>
      <c r="B44" s="49"/>
      <c r="C44" s="75">
        <f>C41-C42-C43</f>
        <v>0</v>
      </c>
      <c r="D44" s="75">
        <f>D41-D42-D43</f>
        <v>1826054.0300000012</v>
      </c>
      <c r="E44" s="75">
        <f>E41-E42-E43</f>
        <v>-1826054.0300000012</v>
      </c>
      <c r="F44" s="62"/>
      <c r="G44" s="75">
        <f>G41-G42-G43</f>
        <v>0</v>
      </c>
      <c r="H44" s="25"/>
      <c r="I44" s="254"/>
      <c r="J44" s="64" t="s">
        <v>41</v>
      </c>
      <c r="K44" s="25"/>
      <c r="L44" s="72">
        <v>-81721089.9</v>
      </c>
      <c r="M44" s="70"/>
      <c r="N44" s="72">
        <f>N42-N43</f>
        <v>-31278982.86</v>
      </c>
      <c r="O44" s="70"/>
      <c r="P44" s="73">
        <f>P42-P43</f>
        <v>-113000072.76</v>
      </c>
      <c r="AB44" s="27"/>
      <c r="AC44" s="28"/>
    </row>
    <row r="45" spans="1:7" ht="16.5" thickTop="1">
      <c r="A45" s="29"/>
      <c r="B45" s="30"/>
      <c r="C45" s="25"/>
      <c r="D45" s="25"/>
      <c r="E45" s="25"/>
      <c r="F45" s="25"/>
      <c r="G45" s="26"/>
    </row>
    <row r="46" spans="1:7" ht="15.75">
      <c r="A46" s="29"/>
      <c r="B46" s="24" t="s">
        <v>64</v>
      </c>
      <c r="C46" s="25"/>
      <c r="D46" s="25"/>
      <c r="E46" s="25"/>
      <c r="F46" s="25"/>
      <c r="G46" s="26"/>
    </row>
    <row r="47" ht="15.75">
      <c r="B47" s="80" t="s">
        <v>69</v>
      </c>
    </row>
    <row r="48" ht="15.75">
      <c r="B48" s="81" t="s">
        <v>75</v>
      </c>
    </row>
    <row r="49" ht="15.75">
      <c r="B49" s="81" t="s">
        <v>74</v>
      </c>
    </row>
    <row r="50" ht="15.75">
      <c r="B50" s="81" t="s">
        <v>76</v>
      </c>
    </row>
    <row r="51" ht="15.75">
      <c r="B51" s="81" t="s">
        <v>72</v>
      </c>
    </row>
    <row r="52" ht="15.75">
      <c r="B52" s="81" t="s">
        <v>73</v>
      </c>
    </row>
    <row r="53" ht="15.75">
      <c r="B53" s="81" t="s">
        <v>77</v>
      </c>
    </row>
    <row r="54" ht="15.75">
      <c r="B54" s="80"/>
    </row>
  </sheetData>
  <sheetProtection/>
  <mergeCells count="28">
    <mergeCell ref="I38:I40"/>
    <mergeCell ref="R38:S38"/>
    <mergeCell ref="X38:Y38"/>
    <mergeCell ref="S15:W15"/>
    <mergeCell ref="X15:AB15"/>
    <mergeCell ref="H15:L15"/>
    <mergeCell ref="M15:Q15"/>
    <mergeCell ref="A17:B17"/>
    <mergeCell ref="A18:B18"/>
    <mergeCell ref="A15:B15"/>
    <mergeCell ref="C15:G15"/>
    <mergeCell ref="X37:Y37"/>
    <mergeCell ref="I42:I44"/>
    <mergeCell ref="I30:I32"/>
    <mergeCell ref="I34:I36"/>
    <mergeCell ref="A2:AC2"/>
    <mergeCell ref="A3:AC3"/>
    <mergeCell ref="A4:AC4"/>
    <mergeCell ref="A12:B14"/>
    <mergeCell ref="C12:G13"/>
    <mergeCell ref="H12:Q12"/>
    <mergeCell ref="R12:R14"/>
    <mergeCell ref="S12:W13"/>
    <mergeCell ref="X12:AB13"/>
    <mergeCell ref="AC12:AC14"/>
    <mergeCell ref="H13:L13"/>
    <mergeCell ref="M13:Q13"/>
    <mergeCell ref="A16:B16"/>
  </mergeCells>
  <printOptions horizontalCentered="1"/>
  <pageMargins left="0.159448818897638" right="0.159448818897638" top="0.2" bottom="0.21259842519685" header="0.5" footer="0.5"/>
  <pageSetup horizontalDpi="600" verticalDpi="600" orientation="landscape" paperSize="3" scale="60" r:id="rId1"/>
</worksheet>
</file>

<file path=xl/worksheets/sheet12.xml><?xml version="1.0" encoding="utf-8"?>
<worksheet xmlns="http://schemas.openxmlformats.org/spreadsheetml/2006/main" xmlns:r="http://schemas.openxmlformats.org/officeDocument/2006/relationships">
  <dimension ref="A1:AD54"/>
  <sheetViews>
    <sheetView zoomScalePageLayoutView="0" workbookViewId="0" topLeftCell="A30">
      <selection activeCell="A28" sqref="A28"/>
    </sheetView>
  </sheetViews>
  <sheetFormatPr defaultColWidth="11.00390625" defaultRowHeight="15.75"/>
  <cols>
    <col min="1" max="1" width="3.50390625" style="1" customWidth="1"/>
    <col min="2" max="2" width="29.625" style="1" customWidth="1"/>
    <col min="3" max="3" width="12.625" style="6" customWidth="1"/>
    <col min="4" max="4" width="13.375" style="6" customWidth="1"/>
    <col min="5" max="5" width="13.50390625" style="6" customWidth="1"/>
    <col min="6" max="6" width="10.75390625" style="6" customWidth="1"/>
    <col min="7" max="7" width="13.25390625" style="6" customWidth="1"/>
    <col min="8" max="8" width="12.375" style="6" customWidth="1"/>
    <col min="9" max="9" width="11.75390625" style="6" customWidth="1"/>
    <col min="10" max="10" width="10.375" style="6" customWidth="1"/>
    <col min="11" max="11" width="10.625" style="6" customWidth="1"/>
    <col min="12" max="12" width="13.50390625" style="6" customWidth="1"/>
    <col min="13" max="13" width="4.125" style="6" customWidth="1"/>
    <col min="14" max="14" width="13.25390625" style="6" customWidth="1"/>
    <col min="15" max="15" width="4.25390625" style="6" customWidth="1"/>
    <col min="16" max="16" width="12.50390625" style="6" customWidth="1"/>
    <col min="17" max="17" width="9.625" style="6" customWidth="1"/>
    <col min="18" max="18" width="13.375" style="6" customWidth="1"/>
    <col min="19" max="19" width="6.00390625" style="6" customWidth="1"/>
    <col min="20" max="20" width="6.50390625" style="6" customWidth="1"/>
    <col min="21" max="21" width="4.75390625" style="6" customWidth="1"/>
    <col min="22" max="22" width="6.75390625" style="6" customWidth="1"/>
    <col min="23" max="23" width="7.375" style="6" customWidth="1"/>
    <col min="24" max="24" width="13.25390625" style="6" customWidth="1"/>
    <col min="25" max="25" width="11.875" style="6" customWidth="1"/>
    <col min="26" max="26" width="10.875" style="6" customWidth="1"/>
    <col min="27" max="27" width="11.625" style="6" customWidth="1"/>
    <col min="28" max="28" width="11.875" style="6" customWidth="1"/>
    <col min="29" max="29" width="2.375" style="1" customWidth="1"/>
  </cols>
  <sheetData>
    <row r="1" ht="15.75">
      <c r="A1" s="1" t="s">
        <v>87</v>
      </c>
    </row>
    <row r="2" spans="1:29" ht="15.75">
      <c r="A2" s="301" t="s">
        <v>68</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29" ht="15.75">
      <c r="A3" s="301" t="s">
        <v>86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row>
    <row r="4" spans="1:29" ht="15.7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row>
    <row r="5" spans="1:23" ht="15.75">
      <c r="A5" s="2"/>
      <c r="B5" s="2"/>
      <c r="C5" s="3"/>
      <c r="D5" s="3"/>
      <c r="E5" s="3"/>
      <c r="F5" s="3"/>
      <c r="G5" s="3"/>
      <c r="H5" s="4"/>
      <c r="I5" s="4"/>
      <c r="J5" s="4"/>
      <c r="K5" s="5"/>
      <c r="L5" s="5"/>
      <c r="M5" s="5"/>
      <c r="N5" s="5"/>
      <c r="O5" s="5"/>
      <c r="P5" s="5"/>
      <c r="Q5" s="5"/>
      <c r="R5" s="5"/>
      <c r="S5" s="5"/>
      <c r="T5" s="4"/>
      <c r="U5" s="4"/>
      <c r="V5" s="4"/>
      <c r="W5" s="4"/>
    </row>
    <row r="6" spans="1:29" ht="15.75">
      <c r="A6" s="8" t="s">
        <v>0</v>
      </c>
      <c r="B6" s="9"/>
      <c r="C6" s="10"/>
      <c r="D6" s="10"/>
      <c r="E6" s="10"/>
      <c r="F6" s="10"/>
      <c r="G6" s="10"/>
      <c r="H6" s="10"/>
      <c r="I6" s="10"/>
      <c r="J6" s="10"/>
      <c r="K6" s="11"/>
      <c r="L6" s="11"/>
      <c r="M6" s="11"/>
      <c r="N6" s="11"/>
      <c r="O6" s="11"/>
      <c r="P6" s="11"/>
      <c r="Q6" s="11"/>
      <c r="R6" s="11"/>
      <c r="S6" s="11"/>
      <c r="T6" s="10"/>
      <c r="U6" s="10"/>
      <c r="V6" s="10"/>
      <c r="W6" s="10"/>
      <c r="X6" s="10"/>
      <c r="Y6" s="10"/>
      <c r="Z6" s="10"/>
      <c r="AA6" s="10"/>
      <c r="AB6" s="10"/>
      <c r="AC6"/>
    </row>
    <row r="7" spans="1:29" ht="15.75">
      <c r="A7" s="8" t="s">
        <v>1</v>
      </c>
      <c r="B7" s="9"/>
      <c r="C7" s="10"/>
      <c r="D7" s="10"/>
      <c r="E7" s="10"/>
      <c r="F7" s="8"/>
      <c r="G7" s="9"/>
      <c r="H7" s="10"/>
      <c r="I7" s="10"/>
      <c r="J7" s="10"/>
      <c r="K7" s="10"/>
      <c r="L7" s="10"/>
      <c r="M7" s="10"/>
      <c r="N7" s="10"/>
      <c r="O7" s="10"/>
      <c r="P7" s="10"/>
      <c r="Q7" s="10"/>
      <c r="R7" s="10"/>
      <c r="S7" s="10"/>
      <c r="T7" s="10"/>
      <c r="U7" s="10"/>
      <c r="V7" s="10"/>
      <c r="W7" s="10"/>
      <c r="X7" s="10"/>
      <c r="Y7" s="10"/>
      <c r="Z7" s="10"/>
      <c r="AA7" s="10"/>
      <c r="AB7" s="10"/>
      <c r="AC7"/>
    </row>
    <row r="8" spans="1:29" ht="15.75">
      <c r="A8" s="8" t="s">
        <v>2</v>
      </c>
      <c r="B8" s="9"/>
      <c r="C8" s="10"/>
      <c r="D8" s="10"/>
      <c r="E8" s="10"/>
      <c r="F8" s="8"/>
      <c r="G8" s="9"/>
      <c r="H8" s="10"/>
      <c r="I8" s="10"/>
      <c r="J8" s="10"/>
      <c r="K8" s="10"/>
      <c r="L8" s="10"/>
      <c r="M8" s="10"/>
      <c r="N8" s="10"/>
      <c r="O8" s="10"/>
      <c r="P8" s="10"/>
      <c r="Q8" s="10"/>
      <c r="R8" s="10"/>
      <c r="S8" s="10"/>
      <c r="T8" s="10"/>
      <c r="U8" s="10"/>
      <c r="V8" s="10"/>
      <c r="W8" s="10"/>
      <c r="X8" s="10"/>
      <c r="Y8" s="10"/>
      <c r="Z8" s="10"/>
      <c r="AA8" s="10"/>
      <c r="AB8" s="10"/>
      <c r="AC8"/>
    </row>
    <row r="9" spans="1:29" ht="15.75">
      <c r="A9" s="8" t="s">
        <v>79</v>
      </c>
      <c r="B9" s="9"/>
      <c r="C9" s="10"/>
      <c r="D9" s="10"/>
      <c r="E9" s="10"/>
      <c r="F9" s="10"/>
      <c r="G9" s="10"/>
      <c r="H9" s="10"/>
      <c r="I9" s="10"/>
      <c r="J9" s="10"/>
      <c r="K9" s="10"/>
      <c r="L9" s="10"/>
      <c r="M9" s="10"/>
      <c r="N9" s="10"/>
      <c r="O9" s="10"/>
      <c r="P9" s="10"/>
      <c r="Q9" s="10"/>
      <c r="R9" s="10"/>
      <c r="S9" s="10"/>
      <c r="T9" s="10"/>
      <c r="U9" s="10"/>
      <c r="V9" s="10"/>
      <c r="W9" s="10"/>
      <c r="X9" s="10"/>
      <c r="Y9" s="10"/>
      <c r="Z9" s="10"/>
      <c r="AA9" s="10"/>
      <c r="AB9" s="10"/>
      <c r="AC9"/>
    </row>
    <row r="10" spans="1:29" ht="15.75">
      <c r="A10" s="8" t="s">
        <v>78</v>
      </c>
      <c r="B10" s="9"/>
      <c r="C10"/>
      <c r="D10"/>
      <c r="E10"/>
      <c r="F10"/>
      <c r="G10"/>
      <c r="H10"/>
      <c r="I10"/>
      <c r="J10"/>
      <c r="K10"/>
      <c r="L10"/>
      <c r="M10"/>
      <c r="N10"/>
      <c r="O10"/>
      <c r="P10"/>
      <c r="Q10"/>
      <c r="R10"/>
      <c r="S10"/>
      <c r="T10"/>
      <c r="U10"/>
      <c r="V10"/>
      <c r="W10"/>
      <c r="X10"/>
      <c r="Y10"/>
      <c r="Z10"/>
      <c r="AA10"/>
      <c r="AB10"/>
      <c r="AC10"/>
    </row>
    <row r="11" spans="1:29" ht="16.5" thickBot="1">
      <c r="A11" s="8"/>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row>
    <row r="12" spans="1:29" ht="15.75">
      <c r="A12" s="302" t="s">
        <v>4</v>
      </c>
      <c r="B12" s="303"/>
      <c r="C12" s="308" t="s">
        <v>5</v>
      </c>
      <c r="D12" s="309"/>
      <c r="E12" s="309"/>
      <c r="F12" s="309"/>
      <c r="G12" s="310"/>
      <c r="H12" s="314" t="s">
        <v>6</v>
      </c>
      <c r="I12" s="315"/>
      <c r="J12" s="315"/>
      <c r="K12" s="315"/>
      <c r="L12" s="315"/>
      <c r="M12" s="315"/>
      <c r="N12" s="315"/>
      <c r="O12" s="315"/>
      <c r="P12" s="315"/>
      <c r="Q12" s="316"/>
      <c r="R12" s="317" t="s">
        <v>7</v>
      </c>
      <c r="S12" s="308" t="s">
        <v>8</v>
      </c>
      <c r="T12" s="309"/>
      <c r="U12" s="309"/>
      <c r="V12" s="309"/>
      <c r="W12" s="309"/>
      <c r="X12" s="308" t="s">
        <v>9</v>
      </c>
      <c r="Y12" s="309"/>
      <c r="Z12" s="309"/>
      <c r="AA12" s="309"/>
      <c r="AB12" s="310"/>
      <c r="AC12" s="323" t="s">
        <v>10</v>
      </c>
    </row>
    <row r="13" spans="1:29" ht="15.75">
      <c r="A13" s="304"/>
      <c r="B13" s="305"/>
      <c r="C13" s="311"/>
      <c r="D13" s="312"/>
      <c r="E13" s="312"/>
      <c r="F13" s="312"/>
      <c r="G13" s="313"/>
      <c r="H13" s="325" t="s">
        <v>57</v>
      </c>
      <c r="I13" s="326"/>
      <c r="J13" s="326"/>
      <c r="K13" s="326"/>
      <c r="L13" s="327"/>
      <c r="M13" s="325" t="s">
        <v>56</v>
      </c>
      <c r="N13" s="326"/>
      <c r="O13" s="326"/>
      <c r="P13" s="326"/>
      <c r="Q13" s="327"/>
      <c r="R13" s="318"/>
      <c r="S13" s="320"/>
      <c r="T13" s="321"/>
      <c r="U13" s="321"/>
      <c r="V13" s="321"/>
      <c r="W13" s="321"/>
      <c r="X13" s="320"/>
      <c r="Y13" s="321"/>
      <c r="Z13" s="321"/>
      <c r="AA13" s="321"/>
      <c r="AB13" s="322"/>
      <c r="AC13" s="324"/>
    </row>
    <row r="14" spans="1:29" ht="16.5" thickBot="1">
      <c r="A14" s="306"/>
      <c r="B14" s="307"/>
      <c r="C14" s="13" t="s">
        <v>11</v>
      </c>
      <c r="D14" s="14" t="s">
        <v>12</v>
      </c>
      <c r="E14" s="14" t="s">
        <v>13</v>
      </c>
      <c r="F14" s="14" t="s">
        <v>14</v>
      </c>
      <c r="G14" s="15" t="s">
        <v>15</v>
      </c>
      <c r="H14" s="16" t="s">
        <v>11</v>
      </c>
      <c r="I14" s="17" t="s">
        <v>12</v>
      </c>
      <c r="J14" s="18" t="s">
        <v>13</v>
      </c>
      <c r="K14" s="17" t="s">
        <v>14</v>
      </c>
      <c r="L14" s="19" t="s">
        <v>15</v>
      </c>
      <c r="M14" s="16" t="s">
        <v>11</v>
      </c>
      <c r="N14" s="17" t="s">
        <v>12</v>
      </c>
      <c r="O14" s="18" t="s">
        <v>13</v>
      </c>
      <c r="P14" s="17" t="s">
        <v>14</v>
      </c>
      <c r="Q14" s="19" t="s">
        <v>15</v>
      </c>
      <c r="R14" s="319"/>
      <c r="S14" s="16" t="s">
        <v>11</v>
      </c>
      <c r="T14" s="17" t="s">
        <v>12</v>
      </c>
      <c r="U14" s="17" t="s">
        <v>13</v>
      </c>
      <c r="V14" s="17" t="s">
        <v>14</v>
      </c>
      <c r="W14" s="20" t="s">
        <v>15</v>
      </c>
      <c r="X14" s="21" t="s">
        <v>11</v>
      </c>
      <c r="Y14" s="18" t="s">
        <v>12</v>
      </c>
      <c r="Z14" s="18" t="s">
        <v>13</v>
      </c>
      <c r="AA14" s="18" t="s">
        <v>14</v>
      </c>
      <c r="AB14" s="22" t="s">
        <v>15</v>
      </c>
      <c r="AC14" s="324"/>
    </row>
    <row r="15" spans="1:30" ht="16.5" thickBot="1">
      <c r="A15" s="260" t="s">
        <v>16</v>
      </c>
      <c r="B15" s="261"/>
      <c r="C15" s="255" t="s">
        <v>17</v>
      </c>
      <c r="D15" s="256"/>
      <c r="E15" s="256"/>
      <c r="F15" s="256"/>
      <c r="G15" s="262"/>
      <c r="H15" s="269" t="s">
        <v>18</v>
      </c>
      <c r="I15" s="256"/>
      <c r="J15" s="256"/>
      <c r="K15" s="256"/>
      <c r="L15" s="262"/>
      <c r="M15" s="269" t="s">
        <v>19</v>
      </c>
      <c r="N15" s="256"/>
      <c r="O15" s="256"/>
      <c r="P15" s="256"/>
      <c r="Q15" s="262"/>
      <c r="R15" s="31" t="s">
        <v>20</v>
      </c>
      <c r="S15" s="269" t="s">
        <v>21</v>
      </c>
      <c r="T15" s="256"/>
      <c r="U15" s="256"/>
      <c r="V15" s="256"/>
      <c r="W15" s="257"/>
      <c r="X15" s="255" t="s">
        <v>22</v>
      </c>
      <c r="Y15" s="256"/>
      <c r="Z15" s="256"/>
      <c r="AA15" s="256"/>
      <c r="AB15" s="257"/>
      <c r="AC15" s="32" t="s">
        <v>23</v>
      </c>
      <c r="AD15" t="s">
        <v>63</v>
      </c>
    </row>
    <row r="16" spans="1:29" ht="15.75">
      <c r="A16" s="248"/>
      <c r="B16" s="249"/>
      <c r="C16" s="33"/>
      <c r="D16" s="33"/>
      <c r="E16" s="33"/>
      <c r="F16" s="33"/>
      <c r="G16" s="33"/>
      <c r="H16" s="34"/>
      <c r="I16" s="33"/>
      <c r="J16" s="33"/>
      <c r="K16" s="33"/>
      <c r="L16" s="33"/>
      <c r="M16" s="34"/>
      <c r="N16" s="33"/>
      <c r="O16" s="33"/>
      <c r="P16" s="33"/>
      <c r="Q16" s="33"/>
      <c r="R16" s="34"/>
      <c r="S16" s="34"/>
      <c r="T16" s="33"/>
      <c r="U16" s="33"/>
      <c r="V16" s="33"/>
      <c r="W16" s="33"/>
      <c r="X16" s="34"/>
      <c r="Y16" s="33"/>
      <c r="Z16" s="33"/>
      <c r="AA16" s="33"/>
      <c r="AB16" s="35"/>
      <c r="AC16" s="36"/>
    </row>
    <row r="17" spans="1:29" ht="15.75">
      <c r="A17" s="250" t="s">
        <v>24</v>
      </c>
      <c r="B17" s="299"/>
      <c r="C17" s="37">
        <f>C18+C19</f>
        <v>7518681.77</v>
      </c>
      <c r="D17" s="37">
        <f>D18+D19</f>
        <v>7388750.87</v>
      </c>
      <c r="E17" s="37">
        <f>E18+E19</f>
        <v>3600</v>
      </c>
      <c r="F17" s="37">
        <f>F18+F19</f>
        <v>5527795.03</v>
      </c>
      <c r="G17" s="38">
        <f>SUM(C17:F17)</f>
        <v>20438827.67</v>
      </c>
      <c r="H17" s="37">
        <f>H18+H19</f>
        <v>420053.81</v>
      </c>
      <c r="I17" s="37">
        <f>I18+I19</f>
        <v>24208826.12</v>
      </c>
      <c r="J17" s="37">
        <f>J18+J19</f>
        <v>0</v>
      </c>
      <c r="K17" s="37">
        <f>K18+K19</f>
        <v>5919643.46</v>
      </c>
      <c r="L17" s="38">
        <f>SUM(H17:K17)</f>
        <v>30548523.39</v>
      </c>
      <c r="M17" s="37">
        <f>M18+M19</f>
        <v>0</v>
      </c>
      <c r="N17" s="37">
        <f>N18+N19</f>
        <v>0</v>
      </c>
      <c r="O17" s="37">
        <f>O18+O19</f>
        <v>0</v>
      </c>
      <c r="P17" s="37">
        <f>P18+P19</f>
        <v>0</v>
      </c>
      <c r="Q17" s="38">
        <f>SUM(M17:P17)</f>
        <v>0</v>
      </c>
      <c r="R17" s="39">
        <f>G17+L17+Q17</f>
        <v>50987351.06</v>
      </c>
      <c r="S17" s="37">
        <f>S18+S19</f>
        <v>0</v>
      </c>
      <c r="T17" s="37">
        <f>T18+T19</f>
        <v>0</v>
      </c>
      <c r="U17" s="37">
        <f>U18+U19</f>
        <v>0</v>
      </c>
      <c r="V17" s="37">
        <f>V18+V19</f>
        <v>0</v>
      </c>
      <c r="W17" s="38">
        <f>SUM(S17:V17)</f>
        <v>0</v>
      </c>
      <c r="X17" s="37">
        <f>X18+X19</f>
        <v>7938735.579999999</v>
      </c>
      <c r="Y17" s="37">
        <f>Y18+Y19</f>
        <v>31597576.990000002</v>
      </c>
      <c r="Z17" s="37">
        <f>Z18+Z19</f>
        <v>3600</v>
      </c>
      <c r="AA17" s="37">
        <f>AA18+AA19</f>
        <v>11447438.49</v>
      </c>
      <c r="AB17" s="38">
        <f>SUM(X17:AA17)</f>
        <v>50987351.06</v>
      </c>
      <c r="AC17" s="40"/>
    </row>
    <row r="18" spans="1:29" ht="15.75">
      <c r="A18" s="252" t="s">
        <v>25</v>
      </c>
      <c r="B18" s="300"/>
      <c r="C18" s="106">
        <f>6346988.93+248378.07+923314.77</f>
        <v>7518681.77</v>
      </c>
      <c r="D18" s="107">
        <v>6768056.73</v>
      </c>
      <c r="E18" s="41">
        <v>3600</v>
      </c>
      <c r="F18" s="41">
        <v>5527795.03</v>
      </c>
      <c r="G18" s="38">
        <f aca="true" t="shared" si="0" ref="G18:G24">SUM(C18:F18)</f>
        <v>19818133.53</v>
      </c>
      <c r="H18" s="91">
        <v>420053.81</v>
      </c>
      <c r="I18" s="92">
        <v>22386084.09</v>
      </c>
      <c r="J18" s="41"/>
      <c r="K18" s="41">
        <v>5919643.46</v>
      </c>
      <c r="L18" s="38">
        <f aca="true" t="shared" si="1" ref="L18:L24">SUM(H18:K18)</f>
        <v>28725781.36</v>
      </c>
      <c r="M18" s="41"/>
      <c r="N18" s="41"/>
      <c r="O18" s="41"/>
      <c r="P18" s="41"/>
      <c r="Q18" s="38">
        <f aca="true" t="shared" si="2" ref="Q18:Q24">SUM(M18:P18)</f>
        <v>0</v>
      </c>
      <c r="R18" s="39">
        <f aca="true" t="shared" si="3" ref="R18:R24">G18+L18+Q18</f>
        <v>48543914.89</v>
      </c>
      <c r="S18" s="41"/>
      <c r="T18" s="41"/>
      <c r="U18" s="41"/>
      <c r="V18" s="41"/>
      <c r="W18" s="38">
        <f aca="true" t="shared" si="4" ref="W18:W24">SUM(S18:V18)</f>
        <v>0</v>
      </c>
      <c r="X18" s="41">
        <f>C18+H18+M18+S18</f>
        <v>7938735.579999999</v>
      </c>
      <c r="Y18" s="41">
        <f aca="true" t="shared" si="5" ref="Y18:AA24">D18+I18+N18+T18</f>
        <v>29154140.82</v>
      </c>
      <c r="Z18" s="41">
        <f t="shared" si="5"/>
        <v>3600</v>
      </c>
      <c r="AA18" s="41">
        <f t="shared" si="5"/>
        <v>11447438.49</v>
      </c>
      <c r="AB18" s="38">
        <f aca="true" t="shared" si="6" ref="AB18:AB24">SUM(X18:AA18)</f>
        <v>48543914.89</v>
      </c>
      <c r="AC18" s="42"/>
    </row>
    <row r="19" spans="1:29" ht="15.75">
      <c r="A19" s="100" t="s">
        <v>26</v>
      </c>
      <c r="B19" s="44"/>
      <c r="C19" s="41"/>
      <c r="D19" s="88">
        <v>620694.14</v>
      </c>
      <c r="E19" s="41"/>
      <c r="F19" s="41"/>
      <c r="G19" s="38">
        <f t="shared" si="0"/>
        <v>620694.14</v>
      </c>
      <c r="H19" s="41"/>
      <c r="I19" s="88">
        <v>1822742.03</v>
      </c>
      <c r="J19" s="41"/>
      <c r="K19" s="41"/>
      <c r="L19" s="38">
        <f t="shared" si="1"/>
        <v>1822742.03</v>
      </c>
      <c r="M19" s="41"/>
      <c r="N19" s="41"/>
      <c r="O19" s="41"/>
      <c r="P19" s="41"/>
      <c r="Q19" s="38">
        <f t="shared" si="2"/>
        <v>0</v>
      </c>
      <c r="R19" s="39">
        <f t="shared" si="3"/>
        <v>2443436.17</v>
      </c>
      <c r="S19" s="41"/>
      <c r="T19" s="41"/>
      <c r="U19" s="41"/>
      <c r="V19" s="41"/>
      <c r="W19" s="38">
        <f t="shared" si="4"/>
        <v>0</v>
      </c>
      <c r="X19" s="41">
        <f aca="true" t="shared" si="7" ref="X19:X24">C19+H19+M19+S19</f>
        <v>0</v>
      </c>
      <c r="Y19" s="41">
        <f t="shared" si="5"/>
        <v>2443436.17</v>
      </c>
      <c r="Z19" s="41">
        <f t="shared" si="5"/>
        <v>0</v>
      </c>
      <c r="AA19" s="41">
        <f t="shared" si="5"/>
        <v>0</v>
      </c>
      <c r="AB19" s="38">
        <f t="shared" si="6"/>
        <v>2443436.17</v>
      </c>
      <c r="AC19" s="42"/>
    </row>
    <row r="20" spans="1:29" ht="15.75">
      <c r="A20" s="99" t="s">
        <v>27</v>
      </c>
      <c r="B20" s="44"/>
      <c r="C20" s="41"/>
      <c r="D20" s="41"/>
      <c r="E20" s="41"/>
      <c r="F20" s="41"/>
      <c r="G20" s="38">
        <f t="shared" si="0"/>
        <v>0</v>
      </c>
      <c r="H20" s="41"/>
      <c r="I20" s="41"/>
      <c r="J20" s="41"/>
      <c r="K20" s="41"/>
      <c r="L20" s="38">
        <f t="shared" si="1"/>
        <v>0</v>
      </c>
      <c r="M20" s="41"/>
      <c r="N20" s="41"/>
      <c r="O20" s="41"/>
      <c r="P20" s="41"/>
      <c r="Q20" s="38">
        <f t="shared" si="2"/>
        <v>0</v>
      </c>
      <c r="R20" s="39">
        <f t="shared" si="3"/>
        <v>0</v>
      </c>
      <c r="S20" s="41"/>
      <c r="T20" s="41"/>
      <c r="U20" s="41"/>
      <c r="V20" s="41"/>
      <c r="W20" s="38">
        <f t="shared" si="4"/>
        <v>0</v>
      </c>
      <c r="X20" s="41">
        <f t="shared" si="7"/>
        <v>0</v>
      </c>
      <c r="Y20" s="41">
        <f t="shared" si="5"/>
        <v>0</v>
      </c>
      <c r="Z20" s="41">
        <f t="shared" si="5"/>
        <v>0</v>
      </c>
      <c r="AA20" s="41">
        <f t="shared" si="5"/>
        <v>0</v>
      </c>
      <c r="AB20" s="38">
        <f t="shared" si="6"/>
        <v>0</v>
      </c>
      <c r="AC20" s="42"/>
    </row>
    <row r="21" spans="1:29" ht="15.75">
      <c r="A21" s="99" t="s">
        <v>28</v>
      </c>
      <c r="B21" s="101"/>
      <c r="C21" s="108">
        <v>647072.42</v>
      </c>
      <c r="D21" s="109">
        <v>53191.2</v>
      </c>
      <c r="E21" s="41"/>
      <c r="F21" s="41"/>
      <c r="G21" s="38">
        <f t="shared" si="0"/>
        <v>700263.62</v>
      </c>
      <c r="H21" s="41"/>
      <c r="I21" s="85">
        <v>419438.05</v>
      </c>
      <c r="J21" s="41"/>
      <c r="K21" s="41">
        <v>255821.42</v>
      </c>
      <c r="L21" s="38">
        <f t="shared" si="1"/>
        <v>675259.47</v>
      </c>
      <c r="M21" s="86"/>
      <c r="N21" s="87"/>
      <c r="O21" s="41"/>
      <c r="P21" s="41"/>
      <c r="Q21" s="38">
        <f t="shared" si="2"/>
        <v>0</v>
      </c>
      <c r="R21" s="39">
        <f t="shared" si="3"/>
        <v>1375523.0899999999</v>
      </c>
      <c r="S21" s="41"/>
      <c r="T21" s="41"/>
      <c r="U21" s="41"/>
      <c r="V21" s="41"/>
      <c r="W21" s="38">
        <f t="shared" si="4"/>
        <v>0</v>
      </c>
      <c r="X21" s="41">
        <f t="shared" si="7"/>
        <v>647072.42</v>
      </c>
      <c r="Y21" s="41">
        <f t="shared" si="5"/>
        <v>472629.25</v>
      </c>
      <c r="Z21" s="41">
        <f t="shared" si="5"/>
        <v>0</v>
      </c>
      <c r="AA21" s="41">
        <f t="shared" si="5"/>
        <v>255821.42</v>
      </c>
      <c r="AB21" s="38">
        <f t="shared" si="6"/>
        <v>1375523.0899999999</v>
      </c>
      <c r="AC21" s="42"/>
    </row>
    <row r="22" spans="1:29" ht="15.75">
      <c r="A22" s="99" t="s">
        <v>29</v>
      </c>
      <c r="B22" s="101"/>
      <c r="C22" s="41"/>
      <c r="D22" s="41"/>
      <c r="E22" s="41"/>
      <c r="F22" s="41"/>
      <c r="G22" s="38">
        <f t="shared" si="0"/>
        <v>0</v>
      </c>
      <c r="H22" s="41"/>
      <c r="I22" s="41"/>
      <c r="J22" s="41"/>
      <c r="K22" s="41"/>
      <c r="L22" s="38">
        <f t="shared" si="1"/>
        <v>0</v>
      </c>
      <c r="M22" s="41"/>
      <c r="N22" s="41"/>
      <c r="O22" s="41"/>
      <c r="P22" s="41"/>
      <c r="Q22" s="38">
        <f t="shared" si="2"/>
        <v>0</v>
      </c>
      <c r="R22" s="39">
        <f t="shared" si="3"/>
        <v>0</v>
      </c>
      <c r="S22" s="41"/>
      <c r="T22" s="41"/>
      <c r="U22" s="41"/>
      <c r="V22" s="41"/>
      <c r="W22" s="38">
        <f t="shared" si="4"/>
        <v>0</v>
      </c>
      <c r="X22" s="41">
        <f t="shared" si="7"/>
        <v>0</v>
      </c>
      <c r="Y22" s="41">
        <f t="shared" si="5"/>
        <v>0</v>
      </c>
      <c r="Z22" s="41">
        <f t="shared" si="5"/>
        <v>0</v>
      </c>
      <c r="AA22" s="41">
        <f t="shared" si="5"/>
        <v>0</v>
      </c>
      <c r="AB22" s="38">
        <f t="shared" si="6"/>
        <v>0</v>
      </c>
      <c r="AC22" s="42"/>
    </row>
    <row r="23" spans="1:29" ht="15.75">
      <c r="A23" s="99" t="s">
        <v>30</v>
      </c>
      <c r="B23" s="101"/>
      <c r="C23" s="41"/>
      <c r="D23" s="41"/>
      <c r="E23" s="41"/>
      <c r="F23" s="41"/>
      <c r="G23" s="38">
        <f t="shared" si="0"/>
        <v>0</v>
      </c>
      <c r="H23" s="41"/>
      <c r="I23" s="41"/>
      <c r="J23" s="41"/>
      <c r="K23" s="41"/>
      <c r="L23" s="38">
        <f t="shared" si="1"/>
        <v>0</v>
      </c>
      <c r="M23" s="41"/>
      <c r="N23" s="41"/>
      <c r="O23" s="41"/>
      <c r="P23" s="41"/>
      <c r="Q23" s="38">
        <f t="shared" si="2"/>
        <v>0</v>
      </c>
      <c r="R23" s="39">
        <f t="shared" si="3"/>
        <v>0</v>
      </c>
      <c r="S23" s="41"/>
      <c r="T23" s="41"/>
      <c r="U23" s="41"/>
      <c r="V23" s="41"/>
      <c r="W23" s="38">
        <f t="shared" si="4"/>
        <v>0</v>
      </c>
      <c r="X23" s="41">
        <f t="shared" si="7"/>
        <v>0</v>
      </c>
      <c r="Y23" s="41">
        <f t="shared" si="5"/>
        <v>0</v>
      </c>
      <c r="Z23" s="41">
        <f t="shared" si="5"/>
        <v>0</v>
      </c>
      <c r="AA23" s="41">
        <f t="shared" si="5"/>
        <v>0</v>
      </c>
      <c r="AB23" s="38">
        <f t="shared" si="6"/>
        <v>0</v>
      </c>
      <c r="AC23" s="42"/>
    </row>
    <row r="24" spans="1:29" ht="15.75">
      <c r="A24" s="99" t="s">
        <v>31</v>
      </c>
      <c r="B24" s="101"/>
      <c r="C24" s="41"/>
      <c r="D24" s="41"/>
      <c r="E24" s="41"/>
      <c r="F24" s="41"/>
      <c r="G24" s="38">
        <f t="shared" si="0"/>
        <v>0</v>
      </c>
      <c r="H24" s="41"/>
      <c r="I24" s="41"/>
      <c r="J24" s="41"/>
      <c r="K24" s="41"/>
      <c r="L24" s="38">
        <f t="shared" si="1"/>
        <v>0</v>
      </c>
      <c r="M24" s="41"/>
      <c r="N24" s="41"/>
      <c r="O24" s="41"/>
      <c r="P24" s="41"/>
      <c r="Q24" s="38">
        <f t="shared" si="2"/>
        <v>0</v>
      </c>
      <c r="R24" s="39">
        <f t="shared" si="3"/>
        <v>0</v>
      </c>
      <c r="S24" s="41"/>
      <c r="T24" s="41"/>
      <c r="U24" s="41"/>
      <c r="V24" s="41"/>
      <c r="W24" s="38">
        <f t="shared" si="4"/>
        <v>0</v>
      </c>
      <c r="X24" s="41">
        <f t="shared" si="7"/>
        <v>0</v>
      </c>
      <c r="Y24" s="41">
        <f t="shared" si="5"/>
        <v>0</v>
      </c>
      <c r="Z24" s="41">
        <f t="shared" si="5"/>
        <v>0</v>
      </c>
      <c r="AA24" s="41">
        <f t="shared" si="5"/>
        <v>0</v>
      </c>
      <c r="AB24" s="38">
        <f t="shared" si="6"/>
        <v>0</v>
      </c>
      <c r="AC24" s="42"/>
    </row>
    <row r="25" spans="1:29" ht="16.5" thickBot="1">
      <c r="A25" s="47"/>
      <c r="B25" s="101" t="s">
        <v>32</v>
      </c>
      <c r="C25" s="48">
        <f>C17+C21+C22+C24+C20+C23</f>
        <v>8165754.1899999995</v>
      </c>
      <c r="D25" s="48">
        <f>D17+D21+D22+D24+D20+D23</f>
        <v>7441942.07</v>
      </c>
      <c r="E25" s="48">
        <f>E17+E21+E22+E24+E20+E23</f>
        <v>3600</v>
      </c>
      <c r="F25" s="48">
        <f>F17+F21+F22+F24+F20+F23</f>
        <v>5527795.03</v>
      </c>
      <c r="G25" s="48">
        <f>G17+G21+G22+G24+G20+G23</f>
        <v>21139091.290000003</v>
      </c>
      <c r="H25" s="48">
        <f>H17+H21+H22+H24+H20+H23</f>
        <v>420053.81</v>
      </c>
      <c r="I25" s="48">
        <f>I17+I21+I22+I24+I20+I23</f>
        <v>24628264.17</v>
      </c>
      <c r="J25" s="48">
        <f>J17+J21+J22+J24+J20+J23</f>
        <v>0</v>
      </c>
      <c r="K25" s="48">
        <f>K17+K21+K22+K24+K20+K23</f>
        <v>6175464.88</v>
      </c>
      <c r="L25" s="48">
        <f>L17+L21+L22+L24+L20+L23</f>
        <v>31223782.86</v>
      </c>
      <c r="M25" s="48">
        <f>M17+M21+M22+M24+M20+M23</f>
        <v>0</v>
      </c>
      <c r="N25" s="48">
        <f>N17+N21+N22+N24+N20+N23</f>
        <v>0</v>
      </c>
      <c r="O25" s="48">
        <f>O17+O21+O22+O24+O20+O23</f>
        <v>0</v>
      </c>
      <c r="P25" s="48">
        <f>P17+P21+P22+P24+P20+P23</f>
        <v>0</v>
      </c>
      <c r="Q25" s="48">
        <f>Q17+Q21+Q22+Q24+Q20+Q23</f>
        <v>0</v>
      </c>
      <c r="R25" s="48">
        <f>R17+R21+R22+R24</f>
        <v>52362874.150000006</v>
      </c>
      <c r="S25" s="48">
        <f>S17+S21+S22+S24+S20+S23</f>
        <v>0</v>
      </c>
      <c r="T25" s="48">
        <f>T17+T21+T22+T24+T20+T23</f>
        <v>0</v>
      </c>
      <c r="U25" s="48">
        <f>U17+U21+U22+U24+U20+U23</f>
        <v>0</v>
      </c>
      <c r="V25" s="48">
        <f>V17+V21+V22+V24+V20+V23</f>
        <v>0</v>
      </c>
      <c r="W25" s="48">
        <f>W17+W21+W22+W24+W20+W23</f>
        <v>0</v>
      </c>
      <c r="X25" s="48">
        <f>X17+X21+X22+X24+X20+X23</f>
        <v>8585808</v>
      </c>
      <c r="Y25" s="48">
        <f>Y17+Y21+Y22+Y24+Y20+Y23</f>
        <v>32070206.240000002</v>
      </c>
      <c r="Z25" s="48">
        <f>Z17+Z21+Z22+Z24+Z20+Z23</f>
        <v>3600</v>
      </c>
      <c r="AA25" s="48">
        <f>AA17+AA21+AA22+AA24+AA20+AA23</f>
        <v>11703259.91</v>
      </c>
      <c r="AB25" s="48">
        <f>AB17+AB21+AB22+AB24+AB20+AB23</f>
        <v>52362874.150000006</v>
      </c>
      <c r="AC25" s="42"/>
    </row>
    <row r="26" spans="1:29" ht="17.25" thickBot="1" thickTop="1">
      <c r="A26" s="47"/>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01" t="s">
        <v>33</v>
      </c>
      <c r="B28" s="60"/>
      <c r="C28" s="61"/>
      <c r="D28" s="61"/>
      <c r="E28" s="61"/>
      <c r="F28" s="61"/>
      <c r="G28" s="61"/>
      <c r="H28" s="62"/>
      <c r="I28" s="62"/>
      <c r="J28" s="62"/>
      <c r="K28" s="62"/>
      <c r="L28" s="63"/>
      <c r="M28" s="63"/>
      <c r="N28" s="63"/>
      <c r="O28" s="63"/>
      <c r="P28" s="63"/>
      <c r="Q28" s="63"/>
      <c r="R28" s="63"/>
      <c r="S28" s="64"/>
      <c r="T28" s="61"/>
      <c r="U28" s="61"/>
      <c r="V28" s="61"/>
      <c r="W28" s="61"/>
      <c r="X28" s="61"/>
      <c r="Y28" s="61"/>
      <c r="Z28" s="61"/>
      <c r="AA28" s="61"/>
      <c r="AB28" s="61">
        <v>50987351.06</v>
      </c>
      <c r="AC28" s="65"/>
    </row>
    <row r="29" spans="1:29" ht="26.25">
      <c r="A29" s="101"/>
      <c r="B29" s="60"/>
      <c r="C29" s="78" t="s">
        <v>62</v>
      </c>
      <c r="D29" s="78" t="s">
        <v>34</v>
      </c>
      <c r="E29" s="78" t="s">
        <v>35</v>
      </c>
      <c r="F29" s="79"/>
      <c r="G29" s="78" t="s">
        <v>36</v>
      </c>
      <c r="H29" s="62"/>
      <c r="I29" s="62"/>
      <c r="J29" s="62"/>
      <c r="K29" s="62"/>
      <c r="L29" s="78" t="s">
        <v>34</v>
      </c>
      <c r="M29" s="78"/>
      <c r="N29" s="78" t="s">
        <v>35</v>
      </c>
      <c r="O29" s="79"/>
      <c r="P29" s="78" t="s">
        <v>36</v>
      </c>
      <c r="AB29" s="61">
        <v>49865658.22</v>
      </c>
      <c r="AC29" s="65"/>
    </row>
    <row r="30" spans="1:29" ht="15.75">
      <c r="A30" s="66" t="s">
        <v>37</v>
      </c>
      <c r="B30" s="60"/>
      <c r="C30" s="62">
        <f>SUM(C31:C36)</f>
        <v>0</v>
      </c>
      <c r="D30" s="62">
        <f>SUM(D31:D36)</f>
        <v>111674326.95</v>
      </c>
      <c r="E30" s="62">
        <f>SUM(E31:E36)</f>
        <v>50537217.09</v>
      </c>
      <c r="F30" s="62"/>
      <c r="G30" s="62">
        <f>SUM(G31:G36)</f>
        <v>162211544.04</v>
      </c>
      <c r="H30" s="62"/>
      <c r="I30" s="254" t="s">
        <v>52</v>
      </c>
      <c r="J30" s="67" t="s">
        <v>38</v>
      </c>
      <c r="K30" s="62"/>
      <c r="L30" s="68">
        <f>+L34+L38+L42</f>
        <v>106824000</v>
      </c>
      <c r="M30" s="68"/>
      <c r="N30" s="68">
        <v>49161694</v>
      </c>
      <c r="O30" s="68"/>
      <c r="P30" s="68">
        <f>L30+N30</f>
        <v>155985694</v>
      </c>
      <c r="AB30" s="64">
        <f>+AB28-AB29</f>
        <v>1121692.8400000036</v>
      </c>
      <c r="AC30" s="65"/>
    </row>
    <row r="31" spans="1:29" ht="15.75">
      <c r="A31" s="69"/>
      <c r="B31" s="66" t="s">
        <v>39</v>
      </c>
      <c r="C31" s="68"/>
      <c r="D31" s="68">
        <v>106824000</v>
      </c>
      <c r="E31" s="62">
        <v>49161694</v>
      </c>
      <c r="F31" s="62"/>
      <c r="G31" s="63">
        <f>C31+E31+D31</f>
        <v>155985694</v>
      </c>
      <c r="H31" s="62"/>
      <c r="I31" s="254"/>
      <c r="J31" s="64" t="s">
        <v>40</v>
      </c>
      <c r="K31" s="62"/>
      <c r="L31" s="70">
        <v>109848272.92000002</v>
      </c>
      <c r="M31" s="70"/>
      <c r="N31" s="70">
        <f>+N35+N39+N43</f>
        <v>52362874.150000006</v>
      </c>
      <c r="O31" s="70"/>
      <c r="P31" s="71">
        <f>L31+N31</f>
        <v>162211147.07000002</v>
      </c>
      <c r="AB31" s="64"/>
      <c r="AC31" s="65"/>
    </row>
    <row r="32" spans="1:29" ht="16.5" thickBot="1">
      <c r="A32" s="69"/>
      <c r="B32" s="66" t="s">
        <v>67</v>
      </c>
      <c r="C32" s="62"/>
      <c r="D32" s="62"/>
      <c r="E32" s="62"/>
      <c r="F32" s="62"/>
      <c r="G32" s="63">
        <f aca="true" t="shared" si="8" ref="G32:G38">C32+E32+D32</f>
        <v>0</v>
      </c>
      <c r="H32" s="62"/>
      <c r="I32" s="254"/>
      <c r="J32" s="64" t="s">
        <v>41</v>
      </c>
      <c r="K32" s="62"/>
      <c r="L32" s="72">
        <f>L30-L31</f>
        <v>-3024272.9200000167</v>
      </c>
      <c r="M32" s="70"/>
      <c r="N32" s="72">
        <f>N30-N31</f>
        <v>-3201180.150000006</v>
      </c>
      <c r="O32" s="70"/>
      <c r="P32" s="73">
        <f>P30-P31</f>
        <v>-6225453.070000023</v>
      </c>
      <c r="AB32" s="64">
        <v>248378.07</v>
      </c>
      <c r="AC32" s="65"/>
    </row>
    <row r="33" spans="1:29" ht="16.5" thickTop="1">
      <c r="A33" s="69"/>
      <c r="B33" s="66" t="s">
        <v>42</v>
      </c>
      <c r="C33" s="62"/>
      <c r="D33" s="62">
        <v>4850326.95</v>
      </c>
      <c r="E33" s="62">
        <f>+AB21</f>
        <v>1375523.0899999999</v>
      </c>
      <c r="F33" s="62"/>
      <c r="G33" s="63">
        <f t="shared" si="8"/>
        <v>6225850.04</v>
      </c>
      <c r="H33" s="62"/>
      <c r="I33" s="76"/>
      <c r="J33" s="64"/>
      <c r="K33" s="62"/>
      <c r="L33" s="64"/>
      <c r="M33" s="64"/>
      <c r="N33" s="64"/>
      <c r="O33" s="64"/>
      <c r="P33" s="64"/>
      <c r="R33" s="77" t="s">
        <v>58</v>
      </c>
      <c r="X33" s="77" t="s">
        <v>60</v>
      </c>
      <c r="AB33" s="64">
        <v>923315</v>
      </c>
      <c r="AC33" s="65"/>
    </row>
    <row r="34" spans="1:29" ht="15" customHeight="1">
      <c r="A34" s="69"/>
      <c r="B34" s="66" t="s">
        <v>43</v>
      </c>
      <c r="C34" s="62"/>
      <c r="D34" s="62"/>
      <c r="E34" s="62"/>
      <c r="F34" s="62"/>
      <c r="G34" s="63">
        <f t="shared" si="8"/>
        <v>0</v>
      </c>
      <c r="H34" s="62"/>
      <c r="I34" s="254" t="s">
        <v>53</v>
      </c>
      <c r="J34" s="67" t="s">
        <v>38</v>
      </c>
      <c r="K34" s="62"/>
      <c r="L34" s="68">
        <v>94226000</v>
      </c>
      <c r="M34" s="68"/>
      <c r="N34" s="68">
        <v>49161694</v>
      </c>
      <c r="O34" s="68"/>
      <c r="P34" s="68">
        <f>L34+N34</f>
        <v>143387694</v>
      </c>
      <c r="AB34" s="64">
        <f>+AB32+AB33</f>
        <v>1171693.07</v>
      </c>
      <c r="AC34" s="65"/>
    </row>
    <row r="35" spans="1:29" ht="15.75">
      <c r="A35" s="69"/>
      <c r="B35" s="66" t="s">
        <v>44</v>
      </c>
      <c r="C35" s="62"/>
      <c r="D35" s="62"/>
      <c r="E35" s="62"/>
      <c r="F35" s="62"/>
      <c r="G35" s="63">
        <f t="shared" si="8"/>
        <v>0</v>
      </c>
      <c r="H35" s="62"/>
      <c r="I35" s="254"/>
      <c r="J35" s="64" t="s">
        <v>40</v>
      </c>
      <c r="K35" s="62"/>
      <c r="L35" s="70">
        <v>15529183.02</v>
      </c>
      <c r="M35" s="70"/>
      <c r="N35" s="70">
        <f>+G25</f>
        <v>21139091.290000003</v>
      </c>
      <c r="O35" s="70"/>
      <c r="P35" s="71">
        <f>L35+N35</f>
        <v>36668274.31</v>
      </c>
      <c r="AB35" s="64">
        <v>1121692.84</v>
      </c>
      <c r="AC35" s="65"/>
    </row>
    <row r="36" spans="1:29" ht="16.5" thickBot="1">
      <c r="A36" s="69"/>
      <c r="B36" s="66" t="s">
        <v>45</v>
      </c>
      <c r="C36" s="62"/>
      <c r="D36" s="62"/>
      <c r="E36" s="62"/>
      <c r="F36" s="62"/>
      <c r="G36" s="63">
        <f t="shared" si="8"/>
        <v>0</v>
      </c>
      <c r="H36" s="62"/>
      <c r="I36" s="254"/>
      <c r="J36" s="64" t="s">
        <v>41</v>
      </c>
      <c r="K36" s="62"/>
      <c r="L36" s="72">
        <v>78696816.98</v>
      </c>
      <c r="M36" s="70"/>
      <c r="N36" s="72">
        <f>N34-N35</f>
        <v>28022602.709999997</v>
      </c>
      <c r="O36" s="70"/>
      <c r="P36" s="73">
        <f>P34-P35</f>
        <v>106719419.69</v>
      </c>
      <c r="AB36" s="64">
        <f>+AB34-AB35</f>
        <v>50000.22999999998</v>
      </c>
      <c r="AC36" s="65"/>
    </row>
    <row r="37" spans="1:29" ht="16.5" thickTop="1">
      <c r="A37" s="74" t="s">
        <v>46</v>
      </c>
      <c r="B37" s="66"/>
      <c r="C37" s="62"/>
      <c r="D37" s="62"/>
      <c r="E37" s="62"/>
      <c r="F37" s="62"/>
      <c r="G37" s="63">
        <f t="shared" si="8"/>
        <v>0</v>
      </c>
      <c r="H37" s="62"/>
      <c r="I37" s="76"/>
      <c r="J37" s="64"/>
      <c r="K37" s="62"/>
      <c r="L37" s="64"/>
      <c r="M37" s="64"/>
      <c r="N37" s="64"/>
      <c r="O37" s="64"/>
      <c r="P37" s="64"/>
      <c r="R37" s="77" t="s">
        <v>81</v>
      </c>
      <c r="X37" s="328" t="s">
        <v>85</v>
      </c>
      <c r="Y37" s="328"/>
      <c r="AB37" s="64"/>
      <c r="AC37" s="65"/>
    </row>
    <row r="38" spans="1:29" ht="15" customHeight="1">
      <c r="A38" s="74" t="s">
        <v>47</v>
      </c>
      <c r="B38" s="66"/>
      <c r="C38" s="62"/>
      <c r="D38" s="62"/>
      <c r="E38" s="62"/>
      <c r="F38" s="62"/>
      <c r="G38" s="63">
        <f t="shared" si="8"/>
        <v>0</v>
      </c>
      <c r="H38" s="62"/>
      <c r="I38" s="254" t="s">
        <v>54</v>
      </c>
      <c r="J38" s="67" t="s">
        <v>38</v>
      </c>
      <c r="K38" s="62"/>
      <c r="L38" s="68"/>
      <c r="M38" s="68"/>
      <c r="N38" s="68"/>
      <c r="O38" s="68"/>
      <c r="P38" s="68">
        <f>L38+N38</f>
        <v>0</v>
      </c>
      <c r="R38" s="329" t="s">
        <v>59</v>
      </c>
      <c r="S38" s="329"/>
      <c r="X38" s="329" t="s">
        <v>61</v>
      </c>
      <c r="Y38" s="329"/>
      <c r="AB38" s="64"/>
      <c r="AC38" s="65"/>
    </row>
    <row r="39" spans="2:29" ht="15.75">
      <c r="B39" s="74" t="s">
        <v>65</v>
      </c>
      <c r="C39" s="62"/>
      <c r="D39" s="62"/>
      <c r="E39" s="62"/>
      <c r="F39" s="62"/>
      <c r="G39" s="63">
        <f>C39+E39+D39</f>
        <v>0</v>
      </c>
      <c r="H39" s="62"/>
      <c r="I39" s="254"/>
      <c r="J39" s="64" t="s">
        <v>40</v>
      </c>
      <c r="K39" s="62"/>
      <c r="L39" s="70"/>
      <c r="M39" s="70"/>
      <c r="N39" s="70">
        <f>+Q25</f>
        <v>0</v>
      </c>
      <c r="O39" s="70"/>
      <c r="P39" s="71">
        <f>L39+N39</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3">
        <f>P38-P39</f>
        <v>0</v>
      </c>
      <c r="AB40" s="64"/>
      <c r="AC40" s="65"/>
    </row>
    <row r="41" spans="1:29" ht="16.5" thickTop="1">
      <c r="A41" s="66" t="s">
        <v>48</v>
      </c>
      <c r="B41" s="66"/>
      <c r="C41" s="62">
        <f>C30-C37+C38-C39+C40</f>
        <v>0</v>
      </c>
      <c r="D41" s="62">
        <f>D30-D37+D38-D39+D40</f>
        <v>111674326.95</v>
      </c>
      <c r="E41" s="62">
        <f>E30-E37+E38-E39+E40</f>
        <v>50537217.09</v>
      </c>
      <c r="F41" s="62"/>
      <c r="G41" s="62">
        <f>G30-G37+G38-G39+G40</f>
        <v>162211544.04</v>
      </c>
      <c r="H41" s="62"/>
      <c r="I41" s="76"/>
      <c r="J41" s="64"/>
      <c r="K41" s="62"/>
      <c r="L41" s="64"/>
      <c r="M41" s="64"/>
      <c r="N41" s="64"/>
      <c r="O41" s="64"/>
      <c r="P41" s="64"/>
      <c r="AB41" s="64"/>
      <c r="AC41" s="65"/>
    </row>
    <row r="42" spans="1:29" ht="15" customHeight="1">
      <c r="A42" s="74" t="s">
        <v>51</v>
      </c>
      <c r="B42" s="66"/>
      <c r="C42" s="62"/>
      <c r="D42" s="62"/>
      <c r="E42" s="62">
        <v>396.97</v>
      </c>
      <c r="F42" s="62"/>
      <c r="G42" s="63">
        <f>C42+E42+D42</f>
        <v>396.97</v>
      </c>
      <c r="H42" s="62"/>
      <c r="I42" s="254" t="s">
        <v>55</v>
      </c>
      <c r="J42" s="67" t="s">
        <v>38</v>
      </c>
      <c r="K42" s="62"/>
      <c r="L42" s="68">
        <v>12598000</v>
      </c>
      <c r="M42" s="68"/>
      <c r="N42" s="68">
        <v>0</v>
      </c>
      <c r="O42" s="68"/>
      <c r="P42" s="68">
        <f>L42+N42</f>
        <v>12598000</v>
      </c>
      <c r="AB42" s="64"/>
      <c r="AC42" s="65"/>
    </row>
    <row r="43" spans="1:29" ht="15.75">
      <c r="A43" s="69"/>
      <c r="B43" s="66" t="s">
        <v>49</v>
      </c>
      <c r="C43" s="62"/>
      <c r="D43" s="62">
        <v>109848272.92</v>
      </c>
      <c r="E43" s="62">
        <f>AB25</f>
        <v>52362874.150000006</v>
      </c>
      <c r="F43" s="62"/>
      <c r="G43" s="63">
        <f>C43+E43+D43</f>
        <v>162211147.07</v>
      </c>
      <c r="H43" s="25"/>
      <c r="I43" s="254"/>
      <c r="J43" s="64" t="s">
        <v>40</v>
      </c>
      <c r="K43" s="25"/>
      <c r="L43" s="70">
        <v>94319089.9</v>
      </c>
      <c r="M43" s="70"/>
      <c r="N43" s="70">
        <f>+L25</f>
        <v>31223782.86</v>
      </c>
      <c r="O43" s="70"/>
      <c r="P43" s="71">
        <f>L43+N43</f>
        <v>125542872.76</v>
      </c>
      <c r="AB43" s="27"/>
      <c r="AC43" s="28"/>
    </row>
    <row r="44" spans="1:29" ht="16.5" thickBot="1">
      <c r="A44" s="74" t="s">
        <v>50</v>
      </c>
      <c r="B44" s="49"/>
      <c r="C44" s="75">
        <f>C41-C42-C43</f>
        <v>0</v>
      </c>
      <c r="D44" s="75">
        <f>D41-D42-D43</f>
        <v>1826054.0300000012</v>
      </c>
      <c r="E44" s="75">
        <f>E41-E42-E43</f>
        <v>-1826054.0300000012</v>
      </c>
      <c r="F44" s="62"/>
      <c r="G44" s="75">
        <f>G41-G42-G43</f>
        <v>0</v>
      </c>
      <c r="H44" s="25"/>
      <c r="I44" s="254"/>
      <c r="J44" s="64" t="s">
        <v>41</v>
      </c>
      <c r="K44" s="25"/>
      <c r="L44" s="72">
        <v>-81721089.9</v>
      </c>
      <c r="M44" s="70"/>
      <c r="N44" s="72">
        <f>N42-N43</f>
        <v>-31223782.86</v>
      </c>
      <c r="O44" s="70"/>
      <c r="P44" s="73">
        <f>P42-P43</f>
        <v>-112944872.76</v>
      </c>
      <c r="AB44" s="27"/>
      <c r="AC44" s="28"/>
    </row>
    <row r="45" spans="1:7" ht="16.5" thickTop="1">
      <c r="A45" s="29"/>
      <c r="B45" s="30"/>
      <c r="C45" s="25"/>
      <c r="D45" s="25"/>
      <c r="E45" s="25"/>
      <c r="F45" s="25"/>
      <c r="G45" s="26"/>
    </row>
    <row r="46" spans="1:7" ht="15.75">
      <c r="A46" s="29"/>
      <c r="B46" s="24" t="s">
        <v>64</v>
      </c>
      <c r="C46" s="25"/>
      <c r="D46" s="25"/>
      <c r="E46" s="25"/>
      <c r="F46" s="25"/>
      <c r="G46" s="26"/>
    </row>
    <row r="47" ht="15.75">
      <c r="B47" s="80" t="s">
        <v>69</v>
      </c>
    </row>
    <row r="48" ht="15.75">
      <c r="B48" s="81" t="s">
        <v>75</v>
      </c>
    </row>
    <row r="49" ht="15.75">
      <c r="B49" s="81" t="s">
        <v>74</v>
      </c>
    </row>
    <row r="50" ht="15.75">
      <c r="B50" s="81" t="s">
        <v>76</v>
      </c>
    </row>
    <row r="51" ht="15.75">
      <c r="B51" s="81" t="s">
        <v>72</v>
      </c>
    </row>
    <row r="52" ht="15.75">
      <c r="B52" s="81" t="s">
        <v>73</v>
      </c>
    </row>
    <row r="53" ht="15.75">
      <c r="B53" s="81" t="s">
        <v>77</v>
      </c>
    </row>
    <row r="54" ht="15.75">
      <c r="B54" s="80"/>
    </row>
  </sheetData>
  <sheetProtection/>
  <mergeCells count="28">
    <mergeCell ref="A2:AC2"/>
    <mergeCell ref="A3:AC3"/>
    <mergeCell ref="A4:AC4"/>
    <mergeCell ref="A12:B14"/>
    <mergeCell ref="C12:G13"/>
    <mergeCell ref="H12:Q12"/>
    <mergeCell ref="R12:R14"/>
    <mergeCell ref="S12:W13"/>
    <mergeCell ref="X12:AB13"/>
    <mergeCell ref="AC12:AC14"/>
    <mergeCell ref="I30:I32"/>
    <mergeCell ref="H13:L13"/>
    <mergeCell ref="M13:Q13"/>
    <mergeCell ref="A15:B15"/>
    <mergeCell ref="C15:G15"/>
    <mergeCell ref="H15:L15"/>
    <mergeCell ref="M15:Q15"/>
    <mergeCell ref="S15:W15"/>
    <mergeCell ref="X15:AB15"/>
    <mergeCell ref="A16:B16"/>
    <mergeCell ref="A17:B17"/>
    <mergeCell ref="A18:B18"/>
    <mergeCell ref="I34:I36"/>
    <mergeCell ref="I38:I40"/>
    <mergeCell ref="R38:S38"/>
    <mergeCell ref="X38:Y38"/>
    <mergeCell ref="I42:I44"/>
    <mergeCell ref="X37:Y37"/>
  </mergeCells>
  <printOptions horizontalCentered="1"/>
  <pageMargins left="0.159448818897638" right="0.159448818897638" top="0.21259842519685" bottom="0.21259842519685" header="0.5" footer="0.5"/>
  <pageSetup horizontalDpi="600" verticalDpi="600" orientation="landscape" paperSize="3" scale="60" r:id="rId1"/>
</worksheet>
</file>

<file path=xl/worksheets/sheet13.xml><?xml version="1.0" encoding="utf-8"?>
<worksheet xmlns="http://schemas.openxmlformats.org/spreadsheetml/2006/main" xmlns:r="http://schemas.openxmlformats.org/officeDocument/2006/relationships">
  <dimension ref="A1:AD53"/>
  <sheetViews>
    <sheetView zoomScalePageLayoutView="0" workbookViewId="0" topLeftCell="A16">
      <selection activeCell="E43" sqref="E43"/>
    </sheetView>
  </sheetViews>
  <sheetFormatPr defaultColWidth="11.00390625" defaultRowHeight="15.75"/>
  <cols>
    <col min="1" max="1" width="3.50390625" style="1" customWidth="1"/>
    <col min="2" max="2" width="34.375" style="1" customWidth="1"/>
    <col min="3" max="3" width="12.625" style="6" customWidth="1"/>
    <col min="4" max="4" width="13.375" style="6" customWidth="1"/>
    <col min="5" max="5" width="13.50390625" style="6" customWidth="1"/>
    <col min="6" max="6" width="8.50390625" style="6" customWidth="1"/>
    <col min="7" max="7" width="12.00390625" style="6" customWidth="1"/>
    <col min="8" max="8" width="13.00390625" style="6" customWidth="1"/>
    <col min="9" max="9" width="11.75390625" style="6" customWidth="1"/>
    <col min="10" max="10" width="10.375" style="6" customWidth="1"/>
    <col min="11" max="11" width="11.375" style="6" customWidth="1"/>
    <col min="12" max="12" width="13.50390625" style="6" customWidth="1"/>
    <col min="13" max="13" width="8.50390625" style="6" customWidth="1"/>
    <col min="14" max="14" width="11.875" style="6" customWidth="1"/>
    <col min="15" max="15" width="7.125" style="6" customWidth="1"/>
    <col min="16" max="16" width="12.375" style="6" customWidth="1"/>
    <col min="17" max="17" width="9.625" style="6" customWidth="1"/>
    <col min="18" max="18" width="13.375" style="6" customWidth="1"/>
    <col min="19" max="19" width="6.00390625" style="6" customWidth="1"/>
    <col min="20" max="20" width="6.50390625" style="6" customWidth="1"/>
    <col min="21" max="21" width="6.00390625" style="6" customWidth="1"/>
    <col min="22" max="22" width="8.375" style="6" customWidth="1"/>
    <col min="23" max="23" width="7.375" style="6" customWidth="1"/>
    <col min="24" max="24" width="13.25390625" style="6" customWidth="1"/>
    <col min="25" max="25" width="11.875" style="6" customWidth="1"/>
    <col min="26" max="28" width="10.875" style="6" customWidth="1"/>
    <col min="29" max="29" width="0.5" style="1" customWidth="1"/>
  </cols>
  <sheetData>
    <row r="1" spans="1:29" ht="15.75">
      <c r="A1" s="301" t="s">
        <v>68</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row>
    <row r="2" spans="1:29" ht="15.75">
      <c r="A2" s="301" t="s">
        <v>84</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29" ht="15.75">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row>
    <row r="4" spans="1:23" ht="15.75">
      <c r="A4" s="2"/>
      <c r="B4" s="2"/>
      <c r="C4" s="3"/>
      <c r="D4" s="3"/>
      <c r="E4" s="3"/>
      <c r="F4" s="3"/>
      <c r="G4" s="3"/>
      <c r="H4" s="4"/>
      <c r="I4" s="4"/>
      <c r="J4" s="4"/>
      <c r="K4" s="5"/>
      <c r="L4" s="5"/>
      <c r="M4" s="5"/>
      <c r="N4" s="5"/>
      <c r="O4" s="5"/>
      <c r="P4" s="5"/>
      <c r="Q4" s="5"/>
      <c r="R4" s="5"/>
      <c r="S4" s="5"/>
      <c r="T4" s="4"/>
      <c r="U4" s="4"/>
      <c r="V4" s="4"/>
      <c r="W4" s="4"/>
    </row>
    <row r="5" spans="1:29" ht="15.75">
      <c r="A5" s="8" t="s">
        <v>0</v>
      </c>
      <c r="B5" s="9"/>
      <c r="C5" s="10"/>
      <c r="D5" s="10"/>
      <c r="E5" s="10"/>
      <c r="F5" s="10"/>
      <c r="G5" s="10"/>
      <c r="H5" s="10"/>
      <c r="I5" s="10"/>
      <c r="J5" s="10"/>
      <c r="K5" s="11"/>
      <c r="L5" s="11"/>
      <c r="M5" s="11"/>
      <c r="N5" s="11"/>
      <c r="O5" s="11"/>
      <c r="P5" s="11"/>
      <c r="Q5" s="11"/>
      <c r="R5" s="11"/>
      <c r="S5" s="11"/>
      <c r="T5" s="10"/>
      <c r="U5" s="10"/>
      <c r="V5" s="10"/>
      <c r="W5" s="10"/>
      <c r="X5" s="10"/>
      <c r="Y5" s="10"/>
      <c r="Z5" s="10"/>
      <c r="AA5" s="10"/>
      <c r="AB5" s="10"/>
      <c r="AC5"/>
    </row>
    <row r="6" spans="1:29" ht="15.75">
      <c r="A6" s="8" t="s">
        <v>1</v>
      </c>
      <c r="B6" s="9"/>
      <c r="C6" s="10"/>
      <c r="D6" s="10"/>
      <c r="E6" s="10"/>
      <c r="F6" s="8"/>
      <c r="G6" s="9"/>
      <c r="H6" s="10"/>
      <c r="I6" s="10"/>
      <c r="J6" s="10"/>
      <c r="K6" s="10"/>
      <c r="L6" s="10"/>
      <c r="M6" s="10"/>
      <c r="N6" s="10"/>
      <c r="O6" s="10"/>
      <c r="P6" s="10"/>
      <c r="Q6" s="10"/>
      <c r="R6" s="10"/>
      <c r="S6" s="10"/>
      <c r="T6" s="10"/>
      <c r="U6" s="10"/>
      <c r="V6" s="10"/>
      <c r="W6" s="10"/>
      <c r="X6" s="10"/>
      <c r="Y6" s="10"/>
      <c r="Z6" s="10"/>
      <c r="AA6" s="10"/>
      <c r="AB6" s="10"/>
      <c r="AC6"/>
    </row>
    <row r="7" spans="1:29" ht="15.75">
      <c r="A7" s="8" t="s">
        <v>2</v>
      </c>
      <c r="B7" s="9"/>
      <c r="C7" s="10"/>
      <c r="D7" s="10"/>
      <c r="E7" s="10"/>
      <c r="F7" s="8"/>
      <c r="G7" s="9"/>
      <c r="H7" s="10"/>
      <c r="I7" s="10"/>
      <c r="J7" s="10"/>
      <c r="K7" s="10"/>
      <c r="L7" s="10"/>
      <c r="M7" s="10"/>
      <c r="N7" s="10"/>
      <c r="O7" s="10"/>
      <c r="P7" s="10"/>
      <c r="Q7" s="10"/>
      <c r="R7" s="10"/>
      <c r="S7" s="10"/>
      <c r="T7" s="10"/>
      <c r="U7" s="10"/>
      <c r="V7" s="10"/>
      <c r="W7" s="10"/>
      <c r="X7" s="10"/>
      <c r="Y7" s="10"/>
      <c r="Z7" s="10"/>
      <c r="AA7" s="10"/>
      <c r="AB7" s="10"/>
      <c r="AC7"/>
    </row>
    <row r="8" spans="1:29" ht="15.75">
      <c r="A8" s="8" t="s">
        <v>79</v>
      </c>
      <c r="B8" s="9"/>
      <c r="C8" s="10"/>
      <c r="D8" s="10"/>
      <c r="E8" s="10"/>
      <c r="F8" s="10"/>
      <c r="G8" s="10"/>
      <c r="H8" s="10"/>
      <c r="I8" s="10"/>
      <c r="J8" s="10"/>
      <c r="K8" s="10"/>
      <c r="L8" s="10"/>
      <c r="M8" s="10"/>
      <c r="N8" s="10"/>
      <c r="O8" s="10"/>
      <c r="P8" s="10"/>
      <c r="Q8" s="10"/>
      <c r="R8" s="10"/>
      <c r="S8" s="10"/>
      <c r="T8" s="10"/>
      <c r="U8" s="10"/>
      <c r="V8" s="10"/>
      <c r="W8" s="10"/>
      <c r="X8" s="10"/>
      <c r="Y8" s="10"/>
      <c r="Z8" s="10"/>
      <c r="AA8" s="10"/>
      <c r="AB8" s="10"/>
      <c r="AC8"/>
    </row>
    <row r="9" spans="1:29" ht="15.75">
      <c r="A9" s="8" t="s">
        <v>78</v>
      </c>
      <c r="B9" s="9"/>
      <c r="C9"/>
      <c r="D9"/>
      <c r="E9"/>
      <c r="F9"/>
      <c r="G9"/>
      <c r="H9"/>
      <c r="I9"/>
      <c r="J9"/>
      <c r="K9"/>
      <c r="L9"/>
      <c r="M9"/>
      <c r="N9"/>
      <c r="O9"/>
      <c r="P9"/>
      <c r="Q9"/>
      <c r="R9"/>
      <c r="S9"/>
      <c r="T9"/>
      <c r="U9"/>
      <c r="V9"/>
      <c r="W9"/>
      <c r="X9"/>
      <c r="Y9"/>
      <c r="Z9"/>
      <c r="AA9"/>
      <c r="AB9"/>
      <c r="AC9"/>
    </row>
    <row r="10" spans="1:29" ht="16.5" thickBot="1">
      <c r="A10" s="8"/>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row>
    <row r="11" spans="1:29" ht="15.75">
      <c r="A11" s="302" t="s">
        <v>4</v>
      </c>
      <c r="B11" s="303"/>
      <c r="C11" s="308" t="s">
        <v>5</v>
      </c>
      <c r="D11" s="309"/>
      <c r="E11" s="309"/>
      <c r="F11" s="309"/>
      <c r="G11" s="310"/>
      <c r="H11" s="314" t="s">
        <v>6</v>
      </c>
      <c r="I11" s="315"/>
      <c r="J11" s="315"/>
      <c r="K11" s="315"/>
      <c r="L11" s="315"/>
      <c r="M11" s="315"/>
      <c r="N11" s="315"/>
      <c r="O11" s="315"/>
      <c r="P11" s="315"/>
      <c r="Q11" s="316"/>
      <c r="R11" s="317" t="s">
        <v>7</v>
      </c>
      <c r="S11" s="308" t="s">
        <v>8</v>
      </c>
      <c r="T11" s="309"/>
      <c r="U11" s="309"/>
      <c r="V11" s="309"/>
      <c r="W11" s="309"/>
      <c r="X11" s="308" t="s">
        <v>9</v>
      </c>
      <c r="Y11" s="309"/>
      <c r="Z11" s="309"/>
      <c r="AA11" s="309"/>
      <c r="AB11" s="310"/>
      <c r="AC11" s="323" t="s">
        <v>10</v>
      </c>
    </row>
    <row r="12" spans="1:29" ht="15.75">
      <c r="A12" s="304"/>
      <c r="B12" s="305"/>
      <c r="C12" s="311"/>
      <c r="D12" s="312"/>
      <c r="E12" s="312"/>
      <c r="F12" s="312"/>
      <c r="G12" s="313"/>
      <c r="H12" s="325" t="s">
        <v>57</v>
      </c>
      <c r="I12" s="326"/>
      <c r="J12" s="326"/>
      <c r="K12" s="326"/>
      <c r="L12" s="327"/>
      <c r="M12" s="325" t="s">
        <v>56</v>
      </c>
      <c r="N12" s="326"/>
      <c r="O12" s="326"/>
      <c r="P12" s="326"/>
      <c r="Q12" s="327"/>
      <c r="R12" s="318"/>
      <c r="S12" s="320"/>
      <c r="T12" s="321"/>
      <c r="U12" s="321"/>
      <c r="V12" s="321"/>
      <c r="W12" s="321"/>
      <c r="X12" s="320"/>
      <c r="Y12" s="321"/>
      <c r="Z12" s="321"/>
      <c r="AA12" s="321"/>
      <c r="AB12" s="322"/>
      <c r="AC12" s="324"/>
    </row>
    <row r="13" spans="1:29" ht="16.5" thickBot="1">
      <c r="A13" s="306"/>
      <c r="B13" s="307"/>
      <c r="C13" s="13" t="s">
        <v>11</v>
      </c>
      <c r="D13" s="14" t="s">
        <v>12</v>
      </c>
      <c r="E13" s="14" t="s">
        <v>13</v>
      </c>
      <c r="F13" s="14" t="s">
        <v>14</v>
      </c>
      <c r="G13" s="15" t="s">
        <v>15</v>
      </c>
      <c r="H13" s="16" t="s">
        <v>11</v>
      </c>
      <c r="I13" s="17" t="s">
        <v>12</v>
      </c>
      <c r="J13" s="18" t="s">
        <v>13</v>
      </c>
      <c r="K13" s="17" t="s">
        <v>14</v>
      </c>
      <c r="L13" s="19" t="s">
        <v>15</v>
      </c>
      <c r="M13" s="16" t="s">
        <v>11</v>
      </c>
      <c r="N13" s="17" t="s">
        <v>12</v>
      </c>
      <c r="O13" s="18" t="s">
        <v>13</v>
      </c>
      <c r="P13" s="17" t="s">
        <v>14</v>
      </c>
      <c r="Q13" s="19" t="s">
        <v>15</v>
      </c>
      <c r="R13" s="319"/>
      <c r="S13" s="16" t="s">
        <v>11</v>
      </c>
      <c r="T13" s="17" t="s">
        <v>12</v>
      </c>
      <c r="U13" s="17" t="s">
        <v>13</v>
      </c>
      <c r="V13" s="17" t="s">
        <v>14</v>
      </c>
      <c r="W13" s="20" t="s">
        <v>15</v>
      </c>
      <c r="X13" s="21" t="s">
        <v>11</v>
      </c>
      <c r="Y13" s="18" t="s">
        <v>12</v>
      </c>
      <c r="Z13" s="18" t="s">
        <v>13</v>
      </c>
      <c r="AA13" s="18" t="s">
        <v>14</v>
      </c>
      <c r="AB13" s="22" t="s">
        <v>15</v>
      </c>
      <c r="AC13" s="324"/>
    </row>
    <row r="14" spans="1:30" ht="16.5" thickBot="1">
      <c r="A14" s="260" t="s">
        <v>16</v>
      </c>
      <c r="B14" s="261"/>
      <c r="C14" s="255" t="s">
        <v>17</v>
      </c>
      <c r="D14" s="256"/>
      <c r="E14" s="256"/>
      <c r="F14" s="256"/>
      <c r="G14" s="262"/>
      <c r="H14" s="269" t="s">
        <v>18</v>
      </c>
      <c r="I14" s="256"/>
      <c r="J14" s="256"/>
      <c r="K14" s="256"/>
      <c r="L14" s="262"/>
      <c r="M14" s="269" t="s">
        <v>19</v>
      </c>
      <c r="N14" s="256"/>
      <c r="O14" s="256"/>
      <c r="P14" s="256"/>
      <c r="Q14" s="262"/>
      <c r="R14" s="31" t="s">
        <v>20</v>
      </c>
      <c r="S14" s="269" t="s">
        <v>21</v>
      </c>
      <c r="T14" s="256"/>
      <c r="U14" s="256"/>
      <c r="V14" s="256"/>
      <c r="W14" s="257"/>
      <c r="X14" s="255" t="s">
        <v>22</v>
      </c>
      <c r="Y14" s="256"/>
      <c r="Z14" s="256"/>
      <c r="AA14" s="256"/>
      <c r="AB14" s="257"/>
      <c r="AC14" s="32" t="s">
        <v>23</v>
      </c>
      <c r="AD14" t="s">
        <v>63</v>
      </c>
    </row>
    <row r="15" spans="1:29" ht="15.75">
      <c r="A15" s="248"/>
      <c r="B15" s="249"/>
      <c r="C15" s="33"/>
      <c r="D15" s="33"/>
      <c r="E15" s="33"/>
      <c r="F15" s="33"/>
      <c r="G15" s="33"/>
      <c r="H15" s="34"/>
      <c r="I15" s="33"/>
      <c r="J15" s="33"/>
      <c r="K15" s="33"/>
      <c r="L15" s="33"/>
      <c r="M15" s="34"/>
      <c r="N15" s="33"/>
      <c r="O15" s="33"/>
      <c r="P15" s="33"/>
      <c r="Q15" s="33"/>
      <c r="R15" s="34"/>
      <c r="S15" s="34"/>
      <c r="T15" s="33"/>
      <c r="U15" s="33"/>
      <c r="V15" s="33"/>
      <c r="W15" s="33"/>
      <c r="X15" s="34"/>
      <c r="Y15" s="33"/>
      <c r="Z15" s="33"/>
      <c r="AA15" s="33"/>
      <c r="AB15" s="35"/>
      <c r="AC15" s="36"/>
    </row>
    <row r="16" spans="1:29" ht="15.75">
      <c r="A16" s="250" t="s">
        <v>24</v>
      </c>
      <c r="B16" s="299"/>
      <c r="C16" s="37">
        <f>C17+C18</f>
        <v>5972175.04</v>
      </c>
      <c r="D16" s="37">
        <f>D17+D18</f>
        <v>1400111.06</v>
      </c>
      <c r="E16" s="37">
        <f>E17+E18</f>
        <v>0</v>
      </c>
      <c r="F16" s="37">
        <f>F17+F18</f>
        <v>0</v>
      </c>
      <c r="G16" s="38">
        <f>SUM(C16:F16)</f>
        <v>7372286.1</v>
      </c>
      <c r="H16" s="37">
        <f>H17+H18</f>
        <v>468043.49</v>
      </c>
      <c r="I16" s="37">
        <f>I17+I18</f>
        <v>40816223.769999996</v>
      </c>
      <c r="J16" s="37">
        <f>J17+J18</f>
        <v>0</v>
      </c>
      <c r="K16" s="37">
        <f>K17+K18</f>
        <v>1573698.13</v>
      </c>
      <c r="L16" s="38">
        <f>SUM(H16:K16)</f>
        <v>42857965.39</v>
      </c>
      <c r="M16" s="37">
        <f>M17+M18</f>
        <v>0</v>
      </c>
      <c r="N16" s="37">
        <f>N17+N18</f>
        <v>0</v>
      </c>
      <c r="O16" s="37">
        <f>O17+O18</f>
        <v>0</v>
      </c>
      <c r="P16" s="37">
        <f>P17+P18</f>
        <v>0</v>
      </c>
      <c r="Q16" s="38">
        <f>SUM(M16:P16)</f>
        <v>0</v>
      </c>
      <c r="R16" s="39">
        <f>G16+L16+Q16</f>
        <v>50230251.49</v>
      </c>
      <c r="S16" s="37">
        <f>S17+S18</f>
        <v>0</v>
      </c>
      <c r="T16" s="37">
        <f>T17+T18</f>
        <v>0</v>
      </c>
      <c r="U16" s="37">
        <f>U17+U18</f>
        <v>0</v>
      </c>
      <c r="V16" s="37">
        <f>V17+V18</f>
        <v>0</v>
      </c>
      <c r="W16" s="38">
        <f>SUM(S16:V16)</f>
        <v>0</v>
      </c>
      <c r="X16" s="37">
        <f>X17+X18</f>
        <v>6440218.53</v>
      </c>
      <c r="Y16" s="37">
        <f>Y17+Y18</f>
        <v>42216334.82999999</v>
      </c>
      <c r="Z16" s="37">
        <f>Z17+Z18</f>
        <v>0</v>
      </c>
      <c r="AA16" s="37">
        <f>AA17+AA18</f>
        <v>1573698.13</v>
      </c>
      <c r="AB16" s="38">
        <f>SUM(X16:AA16)</f>
        <v>50230251.489999995</v>
      </c>
      <c r="AC16" s="40"/>
    </row>
    <row r="17" spans="1:29" ht="15.75">
      <c r="A17" s="252" t="s">
        <v>25</v>
      </c>
      <c r="B17" s="300"/>
      <c r="C17" s="89">
        <v>5972175.04</v>
      </c>
      <c r="D17" s="90">
        <v>1203071.4100000001</v>
      </c>
      <c r="E17" s="41"/>
      <c r="F17" s="41"/>
      <c r="G17" s="38">
        <f aca="true" t="shared" si="0" ref="G17:G23">SUM(C17:F17)</f>
        <v>7175246.45</v>
      </c>
      <c r="H17" s="91">
        <v>412946.20999999996</v>
      </c>
      <c r="I17" s="92">
        <v>35953555.769999996</v>
      </c>
      <c r="J17" s="41"/>
      <c r="K17" s="41">
        <v>1034574.9099999999</v>
      </c>
      <c r="L17" s="38">
        <f aca="true" t="shared" si="1" ref="L17:L23">SUM(H17:K17)</f>
        <v>37401076.88999999</v>
      </c>
      <c r="M17" s="41"/>
      <c r="N17" s="41"/>
      <c r="O17" s="41"/>
      <c r="P17" s="41"/>
      <c r="Q17" s="38">
        <f aca="true" t="shared" si="2" ref="Q17:Q23">SUM(M17:P17)</f>
        <v>0</v>
      </c>
      <c r="R17" s="39">
        <f aca="true" t="shared" si="3" ref="R17:R23">G17+L17+Q17</f>
        <v>44576323.339999996</v>
      </c>
      <c r="S17" s="41"/>
      <c r="T17" s="41"/>
      <c r="U17" s="41"/>
      <c r="V17" s="41"/>
      <c r="W17" s="38">
        <f aca="true" t="shared" si="4" ref="W17:W23">SUM(S17:V17)</f>
        <v>0</v>
      </c>
      <c r="X17" s="41">
        <f>C17+H17+M17+S17</f>
        <v>6385121.25</v>
      </c>
      <c r="Y17" s="41">
        <f aca="true" t="shared" si="5" ref="Y17:AA23">D17+I17+N17+T17</f>
        <v>37156627.17999999</v>
      </c>
      <c r="Z17" s="41">
        <f t="shared" si="5"/>
        <v>0</v>
      </c>
      <c r="AA17" s="41">
        <f t="shared" si="5"/>
        <v>1034574.9099999999</v>
      </c>
      <c r="AB17" s="38">
        <f aca="true" t="shared" si="6" ref="AB17:AB23">SUM(X17:AA17)</f>
        <v>44576323.33999999</v>
      </c>
      <c r="AC17" s="42"/>
    </row>
    <row r="18" spans="1:29" ht="15.75">
      <c r="A18" s="97" t="s">
        <v>26</v>
      </c>
      <c r="B18" s="44"/>
      <c r="C18" s="41"/>
      <c r="D18" s="88">
        <v>197039.65</v>
      </c>
      <c r="E18" s="41"/>
      <c r="F18" s="41"/>
      <c r="G18" s="38">
        <f t="shared" si="0"/>
        <v>197039.65</v>
      </c>
      <c r="H18" s="41">
        <v>55097.28</v>
      </c>
      <c r="I18" s="88">
        <v>4862668</v>
      </c>
      <c r="J18" s="41"/>
      <c r="K18" s="41">
        <v>539123.22</v>
      </c>
      <c r="L18" s="38">
        <f t="shared" si="1"/>
        <v>5456888.5</v>
      </c>
      <c r="M18" s="41"/>
      <c r="N18" s="41"/>
      <c r="O18" s="41"/>
      <c r="P18" s="41"/>
      <c r="Q18" s="38">
        <f t="shared" si="2"/>
        <v>0</v>
      </c>
      <c r="R18" s="39">
        <f t="shared" si="3"/>
        <v>5653928.15</v>
      </c>
      <c r="S18" s="41"/>
      <c r="T18" s="41"/>
      <c r="U18" s="41"/>
      <c r="V18" s="41"/>
      <c r="W18" s="38">
        <f t="shared" si="4"/>
        <v>0</v>
      </c>
      <c r="X18" s="41">
        <f aca="true" t="shared" si="7" ref="X18:X23">C18+H18+M18+S18</f>
        <v>55097.28</v>
      </c>
      <c r="Y18" s="41">
        <f t="shared" si="5"/>
        <v>5059707.65</v>
      </c>
      <c r="Z18" s="41">
        <f t="shared" si="5"/>
        <v>0</v>
      </c>
      <c r="AA18" s="41">
        <f t="shared" si="5"/>
        <v>539123.22</v>
      </c>
      <c r="AB18" s="38">
        <f t="shared" si="6"/>
        <v>5653928.15</v>
      </c>
      <c r="AC18" s="42"/>
    </row>
    <row r="19" spans="1:29" ht="15.75">
      <c r="A19" s="96" t="s">
        <v>27</v>
      </c>
      <c r="B19" s="44"/>
      <c r="C19" s="41"/>
      <c r="D19" s="41"/>
      <c r="E19" s="41"/>
      <c r="F19" s="41"/>
      <c r="G19" s="38">
        <f t="shared" si="0"/>
        <v>0</v>
      </c>
      <c r="H19" s="41"/>
      <c r="I19" s="41"/>
      <c r="J19" s="41"/>
      <c r="K19" s="41"/>
      <c r="L19" s="38">
        <f t="shared" si="1"/>
        <v>0</v>
      </c>
      <c r="M19" s="41"/>
      <c r="N19" s="41"/>
      <c r="O19" s="41"/>
      <c r="P19" s="41"/>
      <c r="Q19" s="38">
        <f t="shared" si="2"/>
        <v>0</v>
      </c>
      <c r="R19" s="39">
        <f t="shared" si="3"/>
        <v>0</v>
      </c>
      <c r="S19" s="41"/>
      <c r="T19" s="41"/>
      <c r="U19" s="41"/>
      <c r="V19" s="41"/>
      <c r="W19" s="38">
        <f t="shared" si="4"/>
        <v>0</v>
      </c>
      <c r="X19" s="41">
        <f t="shared" si="7"/>
        <v>0</v>
      </c>
      <c r="Y19" s="41">
        <f t="shared" si="5"/>
        <v>0</v>
      </c>
      <c r="Z19" s="41">
        <f t="shared" si="5"/>
        <v>0</v>
      </c>
      <c r="AA19" s="41">
        <f t="shared" si="5"/>
        <v>0</v>
      </c>
      <c r="AB19" s="38">
        <f t="shared" si="6"/>
        <v>0</v>
      </c>
      <c r="AC19" s="42"/>
    </row>
    <row r="20" spans="1:29" ht="15.75">
      <c r="A20" s="96" t="s">
        <v>28</v>
      </c>
      <c r="B20" s="98"/>
      <c r="C20" s="85">
        <v>704499.67</v>
      </c>
      <c r="D20" s="85">
        <v>19214.36</v>
      </c>
      <c r="E20" s="41"/>
      <c r="F20" s="41"/>
      <c r="G20" s="38">
        <f t="shared" si="0"/>
        <v>723714.03</v>
      </c>
      <c r="H20" s="41"/>
      <c r="I20" s="85">
        <v>1549391.19</v>
      </c>
      <c r="J20" s="41"/>
      <c r="K20" s="41">
        <v>67545.87</v>
      </c>
      <c r="L20" s="38">
        <f t="shared" si="1"/>
        <v>1616937.06</v>
      </c>
      <c r="M20" s="86"/>
      <c r="N20" s="87"/>
      <c r="O20" s="41"/>
      <c r="P20" s="41"/>
      <c r="Q20" s="38">
        <f t="shared" si="2"/>
        <v>0</v>
      </c>
      <c r="R20" s="39">
        <f t="shared" si="3"/>
        <v>2340651.09</v>
      </c>
      <c r="S20" s="41"/>
      <c r="T20" s="41"/>
      <c r="U20" s="41"/>
      <c r="V20" s="41"/>
      <c r="W20" s="38">
        <f t="shared" si="4"/>
        <v>0</v>
      </c>
      <c r="X20" s="41">
        <f t="shared" si="7"/>
        <v>704499.67</v>
      </c>
      <c r="Y20" s="41">
        <f t="shared" si="5"/>
        <v>1568605.55</v>
      </c>
      <c r="Z20" s="41">
        <f t="shared" si="5"/>
        <v>0</v>
      </c>
      <c r="AA20" s="41">
        <f t="shared" si="5"/>
        <v>67545.87</v>
      </c>
      <c r="AB20" s="38">
        <f t="shared" si="6"/>
        <v>2340651.0900000003</v>
      </c>
      <c r="AC20" s="42"/>
    </row>
    <row r="21" spans="1:29" ht="15.75">
      <c r="A21" s="96" t="s">
        <v>29</v>
      </c>
      <c r="B21" s="98"/>
      <c r="C21" s="41"/>
      <c r="D21" s="41"/>
      <c r="E21" s="41"/>
      <c r="F21" s="41"/>
      <c r="G21" s="38">
        <f t="shared" si="0"/>
        <v>0</v>
      </c>
      <c r="H21" s="41"/>
      <c r="I21" s="41"/>
      <c r="J21" s="41"/>
      <c r="K21" s="41"/>
      <c r="L21" s="38">
        <f t="shared" si="1"/>
        <v>0</v>
      </c>
      <c r="M21" s="41"/>
      <c r="N21" s="41"/>
      <c r="O21" s="41"/>
      <c r="P21" s="41"/>
      <c r="Q21" s="38">
        <f t="shared" si="2"/>
        <v>0</v>
      </c>
      <c r="R21" s="39">
        <f t="shared" si="3"/>
        <v>0</v>
      </c>
      <c r="S21" s="41"/>
      <c r="T21" s="41"/>
      <c r="U21" s="41"/>
      <c r="V21" s="41"/>
      <c r="W21" s="38">
        <f t="shared" si="4"/>
        <v>0</v>
      </c>
      <c r="X21" s="41">
        <f t="shared" si="7"/>
        <v>0</v>
      </c>
      <c r="Y21" s="41">
        <f t="shared" si="5"/>
        <v>0</v>
      </c>
      <c r="Z21" s="41">
        <f t="shared" si="5"/>
        <v>0</v>
      </c>
      <c r="AA21" s="41">
        <f t="shared" si="5"/>
        <v>0</v>
      </c>
      <c r="AB21" s="38">
        <f t="shared" si="6"/>
        <v>0</v>
      </c>
      <c r="AC21" s="42"/>
    </row>
    <row r="22" spans="1:29" ht="15.75">
      <c r="A22" s="96" t="s">
        <v>30</v>
      </c>
      <c r="B22" s="98"/>
      <c r="C22" s="41"/>
      <c r="D22" s="41"/>
      <c r="E22" s="41"/>
      <c r="F22" s="41"/>
      <c r="G22" s="38">
        <f t="shared" si="0"/>
        <v>0</v>
      </c>
      <c r="H22" s="41"/>
      <c r="I22" s="41"/>
      <c r="J22" s="41"/>
      <c r="K22" s="41"/>
      <c r="L22" s="38">
        <f t="shared" si="1"/>
        <v>0</v>
      </c>
      <c r="M22" s="41"/>
      <c r="N22" s="41"/>
      <c r="O22" s="41"/>
      <c r="P22" s="41"/>
      <c r="Q22" s="38">
        <f t="shared" si="2"/>
        <v>0</v>
      </c>
      <c r="R22" s="39">
        <f t="shared" si="3"/>
        <v>0</v>
      </c>
      <c r="S22" s="41"/>
      <c r="T22" s="41"/>
      <c r="U22" s="41"/>
      <c r="V22" s="41"/>
      <c r="W22" s="38">
        <f t="shared" si="4"/>
        <v>0</v>
      </c>
      <c r="X22" s="41">
        <f t="shared" si="7"/>
        <v>0</v>
      </c>
      <c r="Y22" s="41">
        <f t="shared" si="5"/>
        <v>0</v>
      </c>
      <c r="Z22" s="41">
        <f t="shared" si="5"/>
        <v>0</v>
      </c>
      <c r="AA22" s="41">
        <f t="shared" si="5"/>
        <v>0</v>
      </c>
      <c r="AB22" s="38">
        <f t="shared" si="6"/>
        <v>0</v>
      </c>
      <c r="AC22" s="42"/>
    </row>
    <row r="23" spans="1:29" ht="15.75">
      <c r="A23" s="96" t="s">
        <v>31</v>
      </c>
      <c r="B23" s="98"/>
      <c r="C23" s="41"/>
      <c r="D23" s="41"/>
      <c r="E23" s="41"/>
      <c r="F23" s="41"/>
      <c r="G23" s="38">
        <f t="shared" si="0"/>
        <v>0</v>
      </c>
      <c r="H23" s="41"/>
      <c r="I23" s="41"/>
      <c r="J23" s="41"/>
      <c r="K23" s="41"/>
      <c r="L23" s="38">
        <f t="shared" si="1"/>
        <v>0</v>
      </c>
      <c r="M23" s="41"/>
      <c r="N23" s="41"/>
      <c r="O23" s="41"/>
      <c r="P23" s="41"/>
      <c r="Q23" s="38">
        <f t="shared" si="2"/>
        <v>0</v>
      </c>
      <c r="R23" s="39">
        <f t="shared" si="3"/>
        <v>0</v>
      </c>
      <c r="S23" s="41"/>
      <c r="T23" s="41"/>
      <c r="U23" s="41"/>
      <c r="V23" s="41"/>
      <c r="W23" s="38">
        <f t="shared" si="4"/>
        <v>0</v>
      </c>
      <c r="X23" s="41">
        <f t="shared" si="7"/>
        <v>0</v>
      </c>
      <c r="Y23" s="41">
        <f t="shared" si="5"/>
        <v>0</v>
      </c>
      <c r="Z23" s="41">
        <f t="shared" si="5"/>
        <v>0</v>
      </c>
      <c r="AA23" s="41">
        <f t="shared" si="5"/>
        <v>0</v>
      </c>
      <c r="AB23" s="38">
        <f t="shared" si="6"/>
        <v>0</v>
      </c>
      <c r="AC23" s="42"/>
    </row>
    <row r="24" spans="1:29" ht="16.5" thickBot="1">
      <c r="A24" s="47"/>
      <c r="B24" s="98" t="s">
        <v>32</v>
      </c>
      <c r="C24" s="48">
        <f>C16+C20+C21+C23+C19+C22</f>
        <v>6676674.71</v>
      </c>
      <c r="D24" s="48">
        <f>D16+D20+D21+D23+D19+D22</f>
        <v>1419325.4200000002</v>
      </c>
      <c r="E24" s="48">
        <f>E16+E20+E21+E23+E19+E22</f>
        <v>0</v>
      </c>
      <c r="F24" s="48">
        <f>F16+F20+F21+F23+F19+F22</f>
        <v>0</v>
      </c>
      <c r="G24" s="48">
        <f>G16+G20+G21+G23+G19+G22</f>
        <v>8096000.13</v>
      </c>
      <c r="H24" s="48">
        <f>H16+H20+H21+H23+H19+H22</f>
        <v>468043.49</v>
      </c>
      <c r="I24" s="48">
        <f>I16+I20+I21+I23+I19+I22</f>
        <v>42365614.95999999</v>
      </c>
      <c r="J24" s="48">
        <f>J16+J20+J21+J23+J19+J22</f>
        <v>0</v>
      </c>
      <c r="K24" s="48">
        <f>K16+K20+K21+K23+K19+K22</f>
        <v>1641244</v>
      </c>
      <c r="L24" s="48">
        <f>L16+L20+L21+L23+L19+L22</f>
        <v>44474902.45</v>
      </c>
      <c r="M24" s="48">
        <f>M16+M20+M21+M23+M19+M22</f>
        <v>0</v>
      </c>
      <c r="N24" s="48">
        <f>N16+N20+N21+N23+N19+N22</f>
        <v>0</v>
      </c>
      <c r="O24" s="48">
        <f>O16+O20+O21+O23+O19+O22</f>
        <v>0</v>
      </c>
      <c r="P24" s="48">
        <f>P16+P20+P21+P23+P19+P22</f>
        <v>0</v>
      </c>
      <c r="Q24" s="48">
        <f>Q16+Q20+Q21+Q23+Q19+Q22</f>
        <v>0</v>
      </c>
      <c r="R24" s="48">
        <f>R16+R20+R21+R23</f>
        <v>52570902.58</v>
      </c>
      <c r="S24" s="48">
        <f>S16+S20+S21+S23+S19+S22</f>
        <v>0</v>
      </c>
      <c r="T24" s="48">
        <f>T16+T20+T21+T23+T19+T22</f>
        <v>0</v>
      </c>
      <c r="U24" s="48">
        <f>U16+U20+U21+U23+U19+U22</f>
        <v>0</v>
      </c>
      <c r="V24" s="48">
        <f>V16+V20+V21+V23+V19+V22</f>
        <v>0</v>
      </c>
      <c r="W24" s="48">
        <f>W16+W20+W21+W23+W19+W22</f>
        <v>0</v>
      </c>
      <c r="X24" s="48">
        <f>X16+X20+X21+X23+X19+X22</f>
        <v>7144718.2</v>
      </c>
      <c r="Y24" s="48">
        <f>Y16+Y20+Y21+Y23+Y19+Y22</f>
        <v>43784940.37999999</v>
      </c>
      <c r="Z24" s="48">
        <f>Z16+Z20+Z21+Z23+Z19+Z22</f>
        <v>0</v>
      </c>
      <c r="AA24" s="48">
        <f>AA16+AA20+AA21+AA23+AA19+AA22</f>
        <v>1641244</v>
      </c>
      <c r="AB24" s="48">
        <f>AB16+AB20+AB21+AB23+AB19+AB22</f>
        <v>52570902.58</v>
      </c>
      <c r="AC24" s="42"/>
    </row>
    <row r="25" spans="1:29" ht="17.25" thickBot="1" thickTop="1">
      <c r="A25" s="47"/>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42"/>
    </row>
    <row r="26" spans="1:29" ht="15.75">
      <c r="A26" s="54"/>
      <c r="B26" s="55"/>
      <c r="C26" s="56"/>
      <c r="D26" s="56"/>
      <c r="E26" s="56"/>
      <c r="F26" s="56"/>
      <c r="G26" s="57"/>
      <c r="H26" s="56"/>
      <c r="I26" s="56"/>
      <c r="J26" s="56"/>
      <c r="K26" s="56"/>
      <c r="L26" s="57"/>
      <c r="M26" s="57"/>
      <c r="N26" s="57"/>
      <c r="O26" s="57"/>
      <c r="P26" s="57"/>
      <c r="Q26" s="57"/>
      <c r="R26" s="57"/>
      <c r="S26" s="58"/>
      <c r="T26" s="58"/>
      <c r="U26" s="58"/>
      <c r="V26" s="58"/>
      <c r="W26" s="58"/>
      <c r="X26" s="58"/>
      <c r="Y26" s="58"/>
      <c r="Z26" s="58"/>
      <c r="AA26" s="58"/>
      <c r="AB26" s="58"/>
      <c r="AC26" s="59"/>
    </row>
    <row r="27" spans="1:29" ht="15.75">
      <c r="A27" s="98" t="s">
        <v>33</v>
      </c>
      <c r="B27" s="60"/>
      <c r="C27" s="61"/>
      <c r="D27" s="61"/>
      <c r="E27" s="61"/>
      <c r="F27" s="61"/>
      <c r="G27" s="61"/>
      <c r="H27" s="62"/>
      <c r="I27" s="62"/>
      <c r="J27" s="62"/>
      <c r="K27" s="62"/>
      <c r="L27" s="63"/>
      <c r="M27" s="63"/>
      <c r="N27" s="63"/>
      <c r="O27" s="63"/>
      <c r="P27" s="63"/>
      <c r="Q27" s="63"/>
      <c r="R27" s="63"/>
      <c r="S27" s="64"/>
      <c r="T27" s="61"/>
      <c r="U27" s="61"/>
      <c r="V27" s="61"/>
      <c r="W27" s="61"/>
      <c r="X27" s="61"/>
      <c r="Y27" s="61"/>
      <c r="Z27" s="61"/>
      <c r="AA27" s="61"/>
      <c r="AB27" s="61"/>
      <c r="AC27" s="65"/>
    </row>
    <row r="28" spans="1:29" ht="26.25">
      <c r="A28" s="98"/>
      <c r="B28" s="60"/>
      <c r="C28" s="78" t="s">
        <v>62</v>
      </c>
      <c r="D28" s="78" t="s">
        <v>34</v>
      </c>
      <c r="E28" s="78" t="s">
        <v>35</v>
      </c>
      <c r="F28" s="79"/>
      <c r="G28" s="78" t="s">
        <v>36</v>
      </c>
      <c r="H28" s="62"/>
      <c r="I28" s="62"/>
      <c r="J28" s="62"/>
      <c r="K28" s="62"/>
      <c r="L28" s="78" t="s">
        <v>34</v>
      </c>
      <c r="M28" s="78"/>
      <c r="N28" s="78" t="s">
        <v>35</v>
      </c>
      <c r="O28" s="79"/>
      <c r="P28" s="78" t="s">
        <v>36</v>
      </c>
      <c r="AB28" s="61"/>
      <c r="AC28" s="65"/>
    </row>
    <row r="29" spans="1:29" ht="15.75">
      <c r="A29" s="66" t="s">
        <v>37</v>
      </c>
      <c r="B29" s="60"/>
      <c r="C29" s="62">
        <f>SUM(C30:C35)</f>
        <v>0</v>
      </c>
      <c r="D29" s="62">
        <f>SUM(D30:D35)</f>
        <v>64437675.86</v>
      </c>
      <c r="E29" s="62">
        <f>SUM(E30:E35)</f>
        <v>47236651.09</v>
      </c>
      <c r="F29" s="62"/>
      <c r="G29" s="62">
        <f>SUM(G30:G35)</f>
        <v>111674326.95</v>
      </c>
      <c r="H29" s="62"/>
      <c r="I29" s="254" t="s">
        <v>52</v>
      </c>
      <c r="J29" s="67" t="s">
        <v>38</v>
      </c>
      <c r="K29" s="62"/>
      <c r="L29" s="68">
        <f>+L33+L37+L41</f>
        <v>61928000</v>
      </c>
      <c r="M29" s="68"/>
      <c r="N29" s="68">
        <v>44896000</v>
      </c>
      <c r="O29" s="68"/>
      <c r="P29" s="68">
        <f>L29+N29</f>
        <v>106824000</v>
      </c>
      <c r="AB29" s="64"/>
      <c r="AC29" s="65"/>
    </row>
    <row r="30" spans="1:29" ht="15.75">
      <c r="A30" s="69"/>
      <c r="B30" s="66" t="s">
        <v>39</v>
      </c>
      <c r="C30" s="68"/>
      <c r="D30" s="68">
        <v>61928000</v>
      </c>
      <c r="E30" s="62">
        <v>44896000</v>
      </c>
      <c r="F30" s="62"/>
      <c r="G30" s="63">
        <f>C30+E30+D30</f>
        <v>106824000</v>
      </c>
      <c r="H30" s="62"/>
      <c r="I30" s="254"/>
      <c r="J30" s="64" t="s">
        <v>40</v>
      </c>
      <c r="K30" s="62"/>
      <c r="L30" s="70">
        <f>+L34+L38+L42</f>
        <v>57277370.34</v>
      </c>
      <c r="M30" s="70"/>
      <c r="N30" s="70">
        <f>+N34+N38+N42</f>
        <v>52570902.580000006</v>
      </c>
      <c r="O30" s="70"/>
      <c r="P30" s="105">
        <f>L30+N30</f>
        <v>109848272.92000002</v>
      </c>
      <c r="AB30" s="64"/>
      <c r="AC30" s="65"/>
    </row>
    <row r="31" spans="1:29" ht="16.5" thickBot="1">
      <c r="A31" s="69"/>
      <c r="B31" s="66" t="s">
        <v>67</v>
      </c>
      <c r="C31" s="62"/>
      <c r="D31" s="62"/>
      <c r="E31" s="62"/>
      <c r="F31" s="62"/>
      <c r="G31" s="63">
        <f aca="true" t="shared" si="8" ref="G31:G37">C31+E31+D31</f>
        <v>0</v>
      </c>
      <c r="H31" s="62"/>
      <c r="I31" s="254"/>
      <c r="J31" s="64" t="s">
        <v>41</v>
      </c>
      <c r="K31" s="62"/>
      <c r="L31" s="72">
        <f>L29-L30</f>
        <v>4650629.659999996</v>
      </c>
      <c r="M31" s="70"/>
      <c r="N31" s="72">
        <f>N29-N30</f>
        <v>-7674902.580000006</v>
      </c>
      <c r="O31" s="70"/>
      <c r="P31" s="73">
        <f>P29-P30</f>
        <v>-3024272.9200000167</v>
      </c>
      <c r="AB31" s="64"/>
      <c r="AC31" s="65"/>
    </row>
    <row r="32" spans="1:29" ht="16.5" thickTop="1">
      <c r="A32" s="69"/>
      <c r="B32" s="66" t="s">
        <v>42</v>
      </c>
      <c r="C32" s="62"/>
      <c r="D32" s="62">
        <f>'101 Jan'!G32</f>
        <v>2509675.86</v>
      </c>
      <c r="E32" s="62">
        <f>+AB20</f>
        <v>2340651.0900000003</v>
      </c>
      <c r="F32" s="62"/>
      <c r="G32" s="63">
        <f t="shared" si="8"/>
        <v>4850326.95</v>
      </c>
      <c r="H32" s="62"/>
      <c r="I32" s="76"/>
      <c r="J32" s="64"/>
      <c r="K32" s="62"/>
      <c r="L32" s="64"/>
      <c r="M32" s="64"/>
      <c r="N32" s="64"/>
      <c r="O32" s="64"/>
      <c r="P32" s="64"/>
      <c r="R32" s="77" t="s">
        <v>58</v>
      </c>
      <c r="X32" s="77" t="s">
        <v>60</v>
      </c>
      <c r="AB32" s="64"/>
      <c r="AC32" s="65"/>
    </row>
    <row r="33" spans="1:29" ht="15" customHeight="1">
      <c r="A33" s="69"/>
      <c r="B33" s="66" t="s">
        <v>43</v>
      </c>
      <c r="C33" s="62"/>
      <c r="D33" s="62"/>
      <c r="E33" s="62"/>
      <c r="F33" s="62"/>
      <c r="G33" s="63">
        <f t="shared" si="8"/>
        <v>0</v>
      </c>
      <c r="H33" s="62"/>
      <c r="I33" s="254" t="s">
        <v>53</v>
      </c>
      <c r="J33" s="67" t="s">
        <v>38</v>
      </c>
      <c r="K33" s="62"/>
      <c r="L33" s="68">
        <f>'101 Jan'!P33</f>
        <v>61928000</v>
      </c>
      <c r="M33" s="68"/>
      <c r="N33" s="68">
        <v>32298000</v>
      </c>
      <c r="O33" s="68"/>
      <c r="P33" s="68">
        <f>L33+N33</f>
        <v>94226000</v>
      </c>
      <c r="AB33" s="64"/>
      <c r="AC33" s="65"/>
    </row>
    <row r="34" spans="1:29" ht="15.75">
      <c r="A34" s="69"/>
      <c r="B34" s="66" t="s">
        <v>44</v>
      </c>
      <c r="C34" s="62"/>
      <c r="D34" s="62"/>
      <c r="E34" s="62"/>
      <c r="F34" s="62"/>
      <c r="G34" s="63">
        <f t="shared" si="8"/>
        <v>0</v>
      </c>
      <c r="H34" s="62"/>
      <c r="I34" s="254"/>
      <c r="J34" s="64" t="s">
        <v>40</v>
      </c>
      <c r="K34" s="62"/>
      <c r="L34" s="70">
        <v>7433182.89</v>
      </c>
      <c r="M34" s="70"/>
      <c r="N34" s="70">
        <f>+G24</f>
        <v>8096000.13</v>
      </c>
      <c r="O34" s="70"/>
      <c r="P34" s="71">
        <f>L34+N34</f>
        <v>15529183.02</v>
      </c>
      <c r="AB34" s="64"/>
      <c r="AC34" s="65"/>
    </row>
    <row r="35" spans="1:29" ht="16.5" thickBot="1">
      <c r="A35" s="69"/>
      <c r="B35" s="66" t="s">
        <v>45</v>
      </c>
      <c r="C35" s="62"/>
      <c r="D35" s="62"/>
      <c r="E35" s="62"/>
      <c r="F35" s="62"/>
      <c r="G35" s="63">
        <f t="shared" si="8"/>
        <v>0</v>
      </c>
      <c r="H35" s="62"/>
      <c r="I35" s="254"/>
      <c r="J35" s="64" t="s">
        <v>41</v>
      </c>
      <c r="K35" s="62"/>
      <c r="L35" s="72">
        <f>L33-L34</f>
        <v>54494817.11</v>
      </c>
      <c r="M35" s="70"/>
      <c r="N35" s="72">
        <f>N33-N34</f>
        <v>24201999.87</v>
      </c>
      <c r="O35" s="70"/>
      <c r="P35" s="73">
        <f>P33-P34</f>
        <v>78696816.98</v>
      </c>
      <c r="AB35" s="64"/>
      <c r="AC35" s="65"/>
    </row>
    <row r="36" spans="1:29" ht="16.5" thickTop="1">
      <c r="A36" s="74" t="s">
        <v>46</v>
      </c>
      <c r="B36" s="66"/>
      <c r="C36" s="62"/>
      <c r="D36" s="62"/>
      <c r="E36" s="62"/>
      <c r="F36" s="62"/>
      <c r="G36" s="63">
        <f t="shared" si="8"/>
        <v>0</v>
      </c>
      <c r="H36" s="62"/>
      <c r="I36" s="76"/>
      <c r="J36" s="64"/>
      <c r="K36" s="62"/>
      <c r="L36" s="64"/>
      <c r="M36" s="64"/>
      <c r="N36" s="64"/>
      <c r="O36" s="64"/>
      <c r="P36" s="64"/>
      <c r="R36" s="77" t="s">
        <v>81</v>
      </c>
      <c r="X36" s="95" t="s">
        <v>82</v>
      </c>
      <c r="Y36" s="95"/>
      <c r="AB36" s="64"/>
      <c r="AC36" s="65"/>
    </row>
    <row r="37" spans="1:29" ht="15" customHeight="1">
      <c r="A37" s="74" t="s">
        <v>47</v>
      </c>
      <c r="B37" s="66"/>
      <c r="C37" s="62"/>
      <c r="D37" s="62"/>
      <c r="E37" s="62"/>
      <c r="F37" s="62"/>
      <c r="G37" s="63">
        <f t="shared" si="8"/>
        <v>0</v>
      </c>
      <c r="H37" s="62"/>
      <c r="I37" s="254" t="s">
        <v>54</v>
      </c>
      <c r="J37" s="67" t="s">
        <v>38</v>
      </c>
      <c r="K37" s="62"/>
      <c r="L37" s="68"/>
      <c r="M37" s="68"/>
      <c r="N37" s="68"/>
      <c r="O37" s="68"/>
      <c r="P37" s="68">
        <f>L37+N37</f>
        <v>0</v>
      </c>
      <c r="R37" s="329" t="s">
        <v>59</v>
      </c>
      <c r="S37" s="329"/>
      <c r="X37" s="329" t="s">
        <v>61</v>
      </c>
      <c r="Y37" s="329"/>
      <c r="AB37" s="64"/>
      <c r="AC37" s="65"/>
    </row>
    <row r="38" spans="2:29" ht="15.75">
      <c r="B38" s="74" t="s">
        <v>65</v>
      </c>
      <c r="C38" s="62"/>
      <c r="D38" s="62"/>
      <c r="E38" s="62"/>
      <c r="F38" s="62"/>
      <c r="G38" s="63">
        <f>C38+E38+D38</f>
        <v>0</v>
      </c>
      <c r="H38" s="62"/>
      <c r="I38" s="254"/>
      <c r="J38" s="64" t="s">
        <v>40</v>
      </c>
      <c r="K38" s="62"/>
      <c r="L38" s="70"/>
      <c r="M38" s="70"/>
      <c r="N38" s="70">
        <f>+Q24</f>
        <v>0</v>
      </c>
      <c r="O38" s="70"/>
      <c r="P38" s="71">
        <f>L38+N38</f>
        <v>0</v>
      </c>
      <c r="AB38" s="64"/>
      <c r="AC38" s="65"/>
    </row>
    <row r="39" spans="2:29" ht="16.5" thickBot="1">
      <c r="B39" s="74" t="s">
        <v>66</v>
      </c>
      <c r="C39" s="62"/>
      <c r="D39" s="62"/>
      <c r="E39" s="62"/>
      <c r="F39" s="62"/>
      <c r="G39" s="63">
        <f>C39+E39+D39</f>
        <v>0</v>
      </c>
      <c r="H39" s="62"/>
      <c r="I39" s="254"/>
      <c r="J39" s="64" t="s">
        <v>41</v>
      </c>
      <c r="K39" s="62"/>
      <c r="L39" s="72">
        <f>L37-L38</f>
        <v>0</v>
      </c>
      <c r="M39" s="70"/>
      <c r="N39" s="72">
        <f>N37-N38</f>
        <v>0</v>
      </c>
      <c r="O39" s="70"/>
      <c r="P39" s="73">
        <f>P37-P38</f>
        <v>0</v>
      </c>
      <c r="AB39" s="64"/>
      <c r="AC39" s="65"/>
    </row>
    <row r="40" spans="1:29" ht="16.5" thickTop="1">
      <c r="A40" s="66" t="s">
        <v>48</v>
      </c>
      <c r="B40" s="66"/>
      <c r="C40" s="62">
        <f>C29-C36+C37-C38+C39</f>
        <v>0</v>
      </c>
      <c r="D40" s="62">
        <f>D29-D36+D37-D38+D39</f>
        <v>64437675.86</v>
      </c>
      <c r="E40" s="62">
        <f>E29-E36+E37-E38+E39</f>
        <v>47236651.09</v>
      </c>
      <c r="F40" s="62"/>
      <c r="G40" s="62">
        <f>G29-G36+G37-G38+G39</f>
        <v>111674326.95</v>
      </c>
      <c r="H40" s="62"/>
      <c r="I40" s="76"/>
      <c r="J40" s="64"/>
      <c r="K40" s="62"/>
      <c r="L40" s="64"/>
      <c r="M40" s="64"/>
      <c r="N40" s="64"/>
      <c r="O40" s="64"/>
      <c r="P40" s="64"/>
      <c r="AB40" s="64"/>
      <c r="AC40" s="65"/>
    </row>
    <row r="41" spans="1:29" ht="15" customHeight="1">
      <c r="A41" s="74" t="s">
        <v>51</v>
      </c>
      <c r="B41" s="66"/>
      <c r="C41" s="62"/>
      <c r="D41" s="62"/>
      <c r="E41" s="62"/>
      <c r="F41" s="62"/>
      <c r="G41" s="63">
        <f>C41+E41+D41</f>
        <v>0</v>
      </c>
      <c r="H41" s="62"/>
      <c r="I41" s="254" t="s">
        <v>55</v>
      </c>
      <c r="J41" s="67" t="s">
        <v>38</v>
      </c>
      <c r="K41" s="62"/>
      <c r="L41" s="68">
        <v>0</v>
      </c>
      <c r="M41" s="68"/>
      <c r="N41" s="68">
        <v>12598000</v>
      </c>
      <c r="O41" s="68"/>
      <c r="P41" s="68">
        <f>L41+N41</f>
        <v>12598000</v>
      </c>
      <c r="AB41" s="64"/>
      <c r="AC41" s="65"/>
    </row>
    <row r="42" spans="1:29" ht="15.75">
      <c r="A42" s="69"/>
      <c r="B42" s="66" t="s">
        <v>49</v>
      </c>
      <c r="C42" s="62"/>
      <c r="D42" s="62">
        <f>'101 Jan'!G42</f>
        <v>57277370.34</v>
      </c>
      <c r="E42" s="62">
        <f>AB24</f>
        <v>52570902.58</v>
      </c>
      <c r="F42" s="62"/>
      <c r="G42" s="63">
        <f>C42+E42+D42</f>
        <v>109848272.92</v>
      </c>
      <c r="H42" s="25"/>
      <c r="I42" s="254"/>
      <c r="J42" s="64" t="s">
        <v>40</v>
      </c>
      <c r="K42" s="25"/>
      <c r="L42" s="70">
        <v>49844187.45</v>
      </c>
      <c r="M42" s="70"/>
      <c r="N42" s="70">
        <f>+L24</f>
        <v>44474902.45</v>
      </c>
      <c r="O42" s="70"/>
      <c r="P42" s="71">
        <f>L42+N42</f>
        <v>94319089.9</v>
      </c>
      <c r="AB42" s="27"/>
      <c r="AC42" s="28"/>
    </row>
    <row r="43" spans="1:29" ht="16.5" thickBot="1">
      <c r="A43" s="74" t="s">
        <v>50</v>
      </c>
      <c r="B43" s="49"/>
      <c r="C43" s="75">
        <f>C40-C41-C42</f>
        <v>0</v>
      </c>
      <c r="D43" s="75">
        <f>D40-D41-D42</f>
        <v>7160305.519999996</v>
      </c>
      <c r="E43" s="75">
        <f>E40-E41-E42</f>
        <v>-5334251.489999995</v>
      </c>
      <c r="F43" s="62"/>
      <c r="G43" s="75">
        <f>G40-G41-G42</f>
        <v>1826054.0300000012</v>
      </c>
      <c r="H43" s="25"/>
      <c r="I43" s="254"/>
      <c r="J43" s="64" t="s">
        <v>41</v>
      </c>
      <c r="K43" s="25"/>
      <c r="L43" s="72">
        <f>L41-L42</f>
        <v>-49844187.45</v>
      </c>
      <c r="M43" s="70"/>
      <c r="N43" s="72">
        <f>N41-N42</f>
        <v>-31876902.450000003</v>
      </c>
      <c r="O43" s="70"/>
      <c r="P43" s="73">
        <f>P41-P42</f>
        <v>-81721089.9</v>
      </c>
      <c r="AB43" s="27"/>
      <c r="AC43" s="28"/>
    </row>
    <row r="44" spans="1:7" ht="16.5" thickTop="1">
      <c r="A44" s="29"/>
      <c r="B44" s="30"/>
      <c r="C44" s="25"/>
      <c r="D44" s="25"/>
      <c r="E44" s="25"/>
      <c r="F44" s="25"/>
      <c r="G44" s="26"/>
    </row>
    <row r="45" spans="1:7" ht="15.75">
      <c r="A45" s="29"/>
      <c r="B45" s="24" t="s">
        <v>64</v>
      </c>
      <c r="C45" s="25"/>
      <c r="D45" s="25"/>
      <c r="E45" s="25"/>
      <c r="F45" s="25"/>
      <c r="G45" s="26"/>
    </row>
    <row r="46" ht="15.75">
      <c r="B46" s="80" t="s">
        <v>69</v>
      </c>
    </row>
    <row r="47" ht="15.75">
      <c r="B47" s="81" t="s">
        <v>75</v>
      </c>
    </row>
    <row r="48" ht="15.75">
      <c r="B48" s="81" t="s">
        <v>74</v>
      </c>
    </row>
    <row r="49" ht="15.75">
      <c r="B49" s="81" t="s">
        <v>76</v>
      </c>
    </row>
    <row r="50" ht="15.75">
      <c r="B50" s="81" t="s">
        <v>72</v>
      </c>
    </row>
    <row r="51" ht="15.75">
      <c r="B51" s="81" t="s">
        <v>73</v>
      </c>
    </row>
    <row r="52" ht="15.75">
      <c r="B52" s="81" t="s">
        <v>77</v>
      </c>
    </row>
    <row r="53" ht="15.75">
      <c r="B53" s="80"/>
    </row>
  </sheetData>
  <sheetProtection/>
  <mergeCells count="27">
    <mergeCell ref="I33:I35"/>
    <mergeCell ref="I37:I39"/>
    <mergeCell ref="R37:S37"/>
    <mergeCell ref="X37:Y37"/>
    <mergeCell ref="I41:I43"/>
    <mergeCell ref="S14:W14"/>
    <mergeCell ref="X14:AB14"/>
    <mergeCell ref="A15:B15"/>
    <mergeCell ref="A16:B16"/>
    <mergeCell ref="A17:B17"/>
    <mergeCell ref="I29:I31"/>
    <mergeCell ref="H12:L12"/>
    <mergeCell ref="M12:Q12"/>
    <mergeCell ref="A14:B14"/>
    <mergeCell ref="C14:G14"/>
    <mergeCell ref="H14:L14"/>
    <mergeCell ref="M14:Q14"/>
    <mergeCell ref="A1:AC1"/>
    <mergeCell ref="A2:AC2"/>
    <mergeCell ref="A3:AC3"/>
    <mergeCell ref="A11:B13"/>
    <mergeCell ref="C11:G12"/>
    <mergeCell ref="H11:Q11"/>
    <mergeCell ref="R11:R13"/>
    <mergeCell ref="S11:W12"/>
    <mergeCell ref="X11:AB12"/>
    <mergeCell ref="AC11:AC13"/>
  </mergeCells>
  <printOptions horizontalCentered="1"/>
  <pageMargins left="0.159448818897638" right="0.159448818897638" top="0.21259842519685" bottom="0.21259842519685" header="0.5" footer="0.5"/>
  <pageSetup orientation="landscape" paperSize="3" scale="65" r:id="rId1"/>
</worksheet>
</file>

<file path=xl/worksheets/sheet14.xml><?xml version="1.0" encoding="utf-8"?>
<worksheet xmlns="http://schemas.openxmlformats.org/spreadsheetml/2006/main" xmlns:r="http://schemas.openxmlformats.org/officeDocument/2006/relationships">
  <dimension ref="A1:AD54"/>
  <sheetViews>
    <sheetView zoomScalePageLayoutView="0" workbookViewId="0" topLeftCell="A10">
      <selection activeCell="AG39" sqref="AG39"/>
    </sheetView>
  </sheetViews>
  <sheetFormatPr defaultColWidth="11.00390625" defaultRowHeight="15.75"/>
  <cols>
    <col min="1" max="1" width="3.50390625" style="1" customWidth="1"/>
    <col min="2" max="2" width="34.375" style="1" customWidth="1"/>
    <col min="3" max="3" width="12.625" style="6" customWidth="1"/>
    <col min="4" max="4" width="14.50390625" style="6" customWidth="1"/>
    <col min="5" max="5" width="15.125" style="6" customWidth="1"/>
    <col min="6" max="6" width="8.50390625" style="6" customWidth="1"/>
    <col min="7" max="7" width="12.00390625" style="6" customWidth="1"/>
    <col min="8" max="8" width="10.375" style="6" customWidth="1"/>
    <col min="9" max="9" width="11.75390625" style="6" customWidth="1"/>
    <col min="10" max="10" width="10.375" style="6" customWidth="1"/>
    <col min="11" max="11" width="11.375" style="6" customWidth="1"/>
    <col min="12" max="12" width="13.50390625" style="6" customWidth="1"/>
    <col min="13" max="13" width="8.50390625" style="6" customWidth="1"/>
    <col min="14" max="14" width="11.875" style="6" customWidth="1"/>
    <col min="15" max="15" width="8.50390625" style="6" customWidth="1"/>
    <col min="16" max="16" width="12.375" style="6" customWidth="1"/>
    <col min="17" max="18" width="13.375" style="6" customWidth="1"/>
    <col min="19" max="22" width="8.375" style="6" customWidth="1"/>
    <col min="23" max="23" width="14.50390625" style="6" customWidth="1"/>
    <col min="24" max="28" width="10.875" style="6" customWidth="1"/>
    <col min="29" max="29" width="0.5" style="1" customWidth="1"/>
  </cols>
  <sheetData>
    <row r="1" spans="1:29" ht="15.75">
      <c r="A1" s="301" t="s">
        <v>68</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row>
    <row r="2" spans="1:29" ht="15.75">
      <c r="A2" s="301" t="s">
        <v>70</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29" ht="15.75">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row>
    <row r="4" spans="1:23" ht="15.75">
      <c r="A4" s="2"/>
      <c r="B4" s="2"/>
      <c r="C4" s="3"/>
      <c r="D4" s="3"/>
      <c r="E4" s="93"/>
      <c r="F4" s="3"/>
      <c r="G4" s="3"/>
      <c r="H4" s="4"/>
      <c r="I4" s="4"/>
      <c r="J4" s="4"/>
      <c r="K4" s="5"/>
      <c r="L4" s="5"/>
      <c r="M4" s="5"/>
      <c r="N4" s="5"/>
      <c r="O4" s="5"/>
      <c r="P4" s="5"/>
      <c r="Q4" s="5"/>
      <c r="R4" s="5"/>
      <c r="S4" s="5"/>
      <c r="T4" s="4"/>
      <c r="U4" s="4"/>
      <c r="V4" s="4"/>
      <c r="W4" s="4"/>
    </row>
    <row r="5" spans="1:29" ht="15.75">
      <c r="A5" s="8" t="s">
        <v>0</v>
      </c>
      <c r="B5" s="9"/>
      <c r="C5" s="10"/>
      <c r="D5" s="10"/>
      <c r="E5" s="10"/>
      <c r="F5" s="10"/>
      <c r="G5" s="10"/>
      <c r="H5" s="10"/>
      <c r="I5" s="10"/>
      <c r="J5" s="10"/>
      <c r="K5" s="11"/>
      <c r="L5" s="11"/>
      <c r="M5" s="11"/>
      <c r="N5" s="11"/>
      <c r="O5" s="11"/>
      <c r="P5" s="11"/>
      <c r="Q5" s="11"/>
      <c r="R5" s="11"/>
      <c r="S5" s="11"/>
      <c r="T5" s="10"/>
      <c r="U5" s="10"/>
      <c r="V5" s="10"/>
      <c r="W5" s="10"/>
      <c r="X5" s="10"/>
      <c r="Y5" s="10"/>
      <c r="Z5" s="10"/>
      <c r="AA5" s="10"/>
      <c r="AB5" s="10"/>
      <c r="AC5"/>
    </row>
    <row r="6" spans="1:29" ht="15.75">
      <c r="A6" s="8" t="s">
        <v>1</v>
      </c>
      <c r="B6" s="9"/>
      <c r="C6" s="10"/>
      <c r="D6" s="10"/>
      <c r="E6" s="93"/>
      <c r="F6" s="10"/>
      <c r="G6" s="94"/>
      <c r="H6" s="10"/>
      <c r="I6" s="10"/>
      <c r="J6" s="10"/>
      <c r="K6" s="10"/>
      <c r="L6" s="10"/>
      <c r="M6" s="10"/>
      <c r="N6" s="10"/>
      <c r="O6" s="10"/>
      <c r="P6" s="10"/>
      <c r="Q6" s="10"/>
      <c r="R6" s="10"/>
      <c r="S6" s="10"/>
      <c r="T6" s="10"/>
      <c r="U6" s="10"/>
      <c r="V6" s="10"/>
      <c r="W6" s="10"/>
      <c r="X6" s="10"/>
      <c r="Y6" s="10"/>
      <c r="Z6" s="10"/>
      <c r="AA6" s="10"/>
      <c r="AB6" s="10"/>
      <c r="AC6"/>
    </row>
    <row r="7" spans="1:29" ht="15.75">
      <c r="A7" s="8" t="s">
        <v>2</v>
      </c>
      <c r="B7" s="9"/>
      <c r="C7" s="10"/>
      <c r="D7" s="10"/>
      <c r="E7" s="10"/>
      <c r="F7" s="10"/>
      <c r="G7" s="94"/>
      <c r="H7" s="10"/>
      <c r="I7" s="10"/>
      <c r="J7" s="10"/>
      <c r="K7" s="10"/>
      <c r="L7" s="10"/>
      <c r="M7" s="10"/>
      <c r="N7" s="10"/>
      <c r="O7" s="10"/>
      <c r="P7" s="10"/>
      <c r="Q7" s="10"/>
      <c r="R7" s="10"/>
      <c r="S7" s="10"/>
      <c r="T7" s="10"/>
      <c r="U7" s="10"/>
      <c r="V7" s="10"/>
      <c r="W7" s="10"/>
      <c r="X7" s="10"/>
      <c r="Y7" s="10"/>
      <c r="Z7" s="10"/>
      <c r="AA7" s="10"/>
      <c r="AB7" s="10"/>
      <c r="AC7"/>
    </row>
    <row r="8" spans="1:29" ht="15.75">
      <c r="A8" s="8" t="s">
        <v>79</v>
      </c>
      <c r="B8" s="9"/>
      <c r="C8" s="10"/>
      <c r="D8" s="10"/>
      <c r="E8" s="10"/>
      <c r="F8" s="10"/>
      <c r="G8" s="10"/>
      <c r="H8" s="10"/>
      <c r="I8" s="10"/>
      <c r="J8" s="10"/>
      <c r="K8" s="10"/>
      <c r="L8" s="10"/>
      <c r="M8" s="10"/>
      <c r="N8" s="10"/>
      <c r="O8" s="10"/>
      <c r="P8" s="10"/>
      <c r="Q8" s="10"/>
      <c r="R8" s="10"/>
      <c r="S8" s="10"/>
      <c r="T8" s="10"/>
      <c r="U8" s="10"/>
      <c r="V8" s="10"/>
      <c r="W8" s="10"/>
      <c r="X8" s="10"/>
      <c r="Y8" s="10"/>
      <c r="Z8" s="10"/>
      <c r="AA8" s="10"/>
      <c r="AB8" s="10"/>
      <c r="AC8"/>
    </row>
    <row r="9" spans="1:29" ht="15.75">
      <c r="A9" s="8" t="s">
        <v>80</v>
      </c>
      <c r="B9" s="9"/>
      <c r="C9"/>
      <c r="D9"/>
      <c r="E9"/>
      <c r="F9"/>
      <c r="G9"/>
      <c r="H9"/>
      <c r="I9"/>
      <c r="J9"/>
      <c r="K9"/>
      <c r="L9"/>
      <c r="M9"/>
      <c r="N9"/>
      <c r="O9"/>
      <c r="P9"/>
      <c r="Q9"/>
      <c r="R9"/>
      <c r="S9"/>
      <c r="T9"/>
      <c r="U9"/>
      <c r="V9"/>
      <c r="W9"/>
      <c r="X9"/>
      <c r="Y9"/>
      <c r="Z9"/>
      <c r="AA9"/>
      <c r="AB9"/>
      <c r="AC9"/>
    </row>
    <row r="10" spans="1:29" ht="16.5" thickBot="1">
      <c r="A10" s="8"/>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row>
    <row r="11" spans="1:29" ht="15.75">
      <c r="A11" s="302" t="s">
        <v>4</v>
      </c>
      <c r="B11" s="303"/>
      <c r="C11" s="308" t="s">
        <v>5</v>
      </c>
      <c r="D11" s="309"/>
      <c r="E11" s="309"/>
      <c r="F11" s="309"/>
      <c r="G11" s="310"/>
      <c r="H11" s="314" t="s">
        <v>6</v>
      </c>
      <c r="I11" s="315"/>
      <c r="J11" s="315"/>
      <c r="K11" s="315"/>
      <c r="L11" s="315"/>
      <c r="M11" s="315"/>
      <c r="N11" s="315"/>
      <c r="O11" s="315"/>
      <c r="P11" s="315"/>
      <c r="Q11" s="316"/>
      <c r="R11" s="317" t="s">
        <v>7</v>
      </c>
      <c r="S11" s="308" t="s">
        <v>8</v>
      </c>
      <c r="T11" s="309"/>
      <c r="U11" s="309"/>
      <c r="V11" s="309"/>
      <c r="W11" s="309"/>
      <c r="X11" s="308" t="s">
        <v>9</v>
      </c>
      <c r="Y11" s="309"/>
      <c r="Z11" s="309"/>
      <c r="AA11" s="309"/>
      <c r="AB11" s="310"/>
      <c r="AC11" s="323" t="s">
        <v>10</v>
      </c>
    </row>
    <row r="12" spans="1:29" ht="15.75">
      <c r="A12" s="304"/>
      <c r="B12" s="305"/>
      <c r="C12" s="311"/>
      <c r="D12" s="312"/>
      <c r="E12" s="312"/>
      <c r="F12" s="312"/>
      <c r="G12" s="313"/>
      <c r="H12" s="325" t="s">
        <v>57</v>
      </c>
      <c r="I12" s="326"/>
      <c r="J12" s="326"/>
      <c r="K12" s="326"/>
      <c r="L12" s="327"/>
      <c r="M12" s="325" t="s">
        <v>56</v>
      </c>
      <c r="N12" s="326"/>
      <c r="O12" s="326"/>
      <c r="P12" s="326"/>
      <c r="Q12" s="327"/>
      <c r="R12" s="318"/>
      <c r="S12" s="320"/>
      <c r="T12" s="321"/>
      <c r="U12" s="321"/>
      <c r="V12" s="321"/>
      <c r="W12" s="321"/>
      <c r="X12" s="320"/>
      <c r="Y12" s="321"/>
      <c r="Z12" s="321"/>
      <c r="AA12" s="321"/>
      <c r="AB12" s="322"/>
      <c r="AC12" s="324"/>
    </row>
    <row r="13" spans="1:29" ht="16.5" thickBot="1">
      <c r="A13" s="306"/>
      <c r="B13" s="307"/>
      <c r="C13" s="13" t="s">
        <v>11</v>
      </c>
      <c r="D13" s="14" t="s">
        <v>12</v>
      </c>
      <c r="E13" s="14" t="s">
        <v>13</v>
      </c>
      <c r="F13" s="14" t="s">
        <v>14</v>
      </c>
      <c r="G13" s="15" t="s">
        <v>15</v>
      </c>
      <c r="H13" s="16" t="s">
        <v>11</v>
      </c>
      <c r="I13" s="17" t="s">
        <v>12</v>
      </c>
      <c r="J13" s="18" t="s">
        <v>13</v>
      </c>
      <c r="K13" s="17" t="s">
        <v>14</v>
      </c>
      <c r="L13" s="19" t="s">
        <v>15</v>
      </c>
      <c r="M13" s="16" t="s">
        <v>11</v>
      </c>
      <c r="N13" s="17" t="s">
        <v>12</v>
      </c>
      <c r="O13" s="18" t="s">
        <v>13</v>
      </c>
      <c r="P13" s="17" t="s">
        <v>14</v>
      </c>
      <c r="Q13" s="19" t="s">
        <v>15</v>
      </c>
      <c r="R13" s="319"/>
      <c r="S13" s="16" t="s">
        <v>11</v>
      </c>
      <c r="T13" s="17" t="s">
        <v>12</v>
      </c>
      <c r="U13" s="17" t="s">
        <v>13</v>
      </c>
      <c r="V13" s="17" t="s">
        <v>14</v>
      </c>
      <c r="W13" s="20" t="s">
        <v>15</v>
      </c>
      <c r="X13" s="21" t="s">
        <v>11</v>
      </c>
      <c r="Y13" s="18" t="s">
        <v>12</v>
      </c>
      <c r="Z13" s="18" t="s">
        <v>13</v>
      </c>
      <c r="AA13" s="18" t="s">
        <v>14</v>
      </c>
      <c r="AB13" s="22" t="s">
        <v>15</v>
      </c>
      <c r="AC13" s="324"/>
    </row>
    <row r="14" spans="1:30" ht="16.5" thickBot="1">
      <c r="A14" s="260" t="s">
        <v>16</v>
      </c>
      <c r="B14" s="261"/>
      <c r="C14" s="255" t="s">
        <v>17</v>
      </c>
      <c r="D14" s="256"/>
      <c r="E14" s="256"/>
      <c r="F14" s="256"/>
      <c r="G14" s="262"/>
      <c r="H14" s="269" t="s">
        <v>18</v>
      </c>
      <c r="I14" s="256"/>
      <c r="J14" s="256"/>
      <c r="K14" s="256"/>
      <c r="L14" s="262"/>
      <c r="M14" s="269" t="s">
        <v>19</v>
      </c>
      <c r="N14" s="256"/>
      <c r="O14" s="256"/>
      <c r="P14" s="256"/>
      <c r="Q14" s="262"/>
      <c r="R14" s="31" t="s">
        <v>20</v>
      </c>
      <c r="S14" s="269" t="s">
        <v>21</v>
      </c>
      <c r="T14" s="256"/>
      <c r="U14" s="256"/>
      <c r="V14" s="256"/>
      <c r="W14" s="257"/>
      <c r="X14" s="255" t="s">
        <v>22</v>
      </c>
      <c r="Y14" s="256"/>
      <c r="Z14" s="256"/>
      <c r="AA14" s="256"/>
      <c r="AB14" s="257"/>
      <c r="AC14" s="32" t="s">
        <v>23</v>
      </c>
      <c r="AD14" t="s">
        <v>63</v>
      </c>
    </row>
    <row r="15" spans="1:29" ht="15.75">
      <c r="A15" s="248"/>
      <c r="B15" s="249"/>
      <c r="C15" s="33"/>
      <c r="D15" s="33"/>
      <c r="E15" s="33"/>
      <c r="F15" s="33"/>
      <c r="G15" s="33"/>
      <c r="H15" s="34"/>
      <c r="I15" s="33"/>
      <c r="J15" s="33"/>
      <c r="K15" s="33"/>
      <c r="L15" s="33"/>
      <c r="M15" s="34"/>
      <c r="N15" s="33"/>
      <c r="O15" s="33"/>
      <c r="P15" s="33"/>
      <c r="Q15" s="33"/>
      <c r="R15" s="34"/>
      <c r="S15" s="34"/>
      <c r="T15" s="33"/>
      <c r="U15" s="33"/>
      <c r="V15" s="33"/>
      <c r="W15" s="33"/>
      <c r="X15" s="34"/>
      <c r="Y15" s="33"/>
      <c r="Z15" s="33"/>
      <c r="AA15" s="33"/>
      <c r="AB15" s="35"/>
      <c r="AC15" s="36"/>
    </row>
    <row r="16" spans="1:29" ht="15.75">
      <c r="A16" s="250" t="s">
        <v>24</v>
      </c>
      <c r="B16" s="299"/>
      <c r="C16" s="37">
        <f>C17+C18</f>
        <v>0</v>
      </c>
      <c r="D16" s="37">
        <f>D17+D18</f>
        <v>0</v>
      </c>
      <c r="E16" s="37">
        <f>E17+E18</f>
        <v>0</v>
      </c>
      <c r="F16" s="37">
        <f>F17+F18</f>
        <v>0</v>
      </c>
      <c r="G16" s="38">
        <f>SUM(C16:F16)</f>
        <v>0</v>
      </c>
      <c r="H16" s="37">
        <f>H17+H18</f>
        <v>0</v>
      </c>
      <c r="I16" s="37">
        <f>I17+I18</f>
        <v>0</v>
      </c>
      <c r="J16" s="37">
        <f>J17+J18</f>
        <v>0</v>
      </c>
      <c r="K16" s="37">
        <f>K17+K18</f>
        <v>0</v>
      </c>
      <c r="L16" s="38">
        <f>SUM(H16:K16)</f>
        <v>0</v>
      </c>
      <c r="M16" s="37">
        <f>M17+M18</f>
        <v>0</v>
      </c>
      <c r="N16" s="37">
        <f>N17+N18</f>
        <v>0</v>
      </c>
      <c r="O16" s="37">
        <f>O17+O18</f>
        <v>0</v>
      </c>
      <c r="P16" s="37">
        <f>P17+P18</f>
        <v>0</v>
      </c>
      <c r="Q16" s="38">
        <f>SUM(M16:P16)</f>
        <v>0</v>
      </c>
      <c r="R16" s="39">
        <f>G16+L16+Q16</f>
        <v>0</v>
      </c>
      <c r="S16" s="37">
        <f>S17+S18</f>
        <v>0</v>
      </c>
      <c r="T16" s="37">
        <f>T17+T18</f>
        <v>0</v>
      </c>
      <c r="U16" s="37">
        <f>U17+U18</f>
        <v>0</v>
      </c>
      <c r="V16" s="37">
        <f>V17+V18</f>
        <v>0</v>
      </c>
      <c r="W16" s="38">
        <f>SUM(S16:V16)</f>
        <v>0</v>
      </c>
      <c r="X16" s="37">
        <f>X17+X18</f>
        <v>0</v>
      </c>
      <c r="Y16" s="37">
        <f>Y17+Y18</f>
        <v>0</v>
      </c>
      <c r="Z16" s="37">
        <f>Z17+Z18</f>
        <v>0</v>
      </c>
      <c r="AA16" s="37">
        <f>AA17+AA18</f>
        <v>0</v>
      </c>
      <c r="AB16" s="38">
        <f>SUM(X16:AA16)</f>
        <v>0</v>
      </c>
      <c r="AC16" s="40"/>
    </row>
    <row r="17" spans="1:29" ht="15.75">
      <c r="A17" s="252" t="s">
        <v>25</v>
      </c>
      <c r="B17" s="300"/>
      <c r="C17" s="89"/>
      <c r="D17" s="90"/>
      <c r="E17" s="41"/>
      <c r="F17" s="41"/>
      <c r="G17" s="38">
        <f aca="true" t="shared" si="0" ref="G17:G23">SUM(C17:F17)</f>
        <v>0</v>
      </c>
      <c r="H17" s="91"/>
      <c r="I17" s="92"/>
      <c r="J17" s="41"/>
      <c r="K17" s="87"/>
      <c r="L17" s="38">
        <f aca="true" t="shared" si="1" ref="L17:L23">SUM(H17:K17)</f>
        <v>0</v>
      </c>
      <c r="M17" s="41"/>
      <c r="N17" s="41"/>
      <c r="O17" s="41"/>
      <c r="P17" s="41"/>
      <c r="Q17" s="38">
        <f aca="true" t="shared" si="2" ref="Q17:Q23">SUM(M17:P17)</f>
        <v>0</v>
      </c>
      <c r="R17" s="39">
        <f aca="true" t="shared" si="3" ref="R17:R23">G17+L17+Q17</f>
        <v>0</v>
      </c>
      <c r="S17" s="41"/>
      <c r="T17" s="41"/>
      <c r="U17" s="41"/>
      <c r="V17" s="41"/>
      <c r="W17" s="38">
        <f aca="true" t="shared" si="4" ref="W17:W23">SUM(S17:V17)</f>
        <v>0</v>
      </c>
      <c r="X17" s="41">
        <f>C17+H17+M17+S17</f>
        <v>0</v>
      </c>
      <c r="Y17" s="41">
        <f aca="true" t="shared" si="5" ref="Y17:AA23">D17+I17+N17+T17</f>
        <v>0</v>
      </c>
      <c r="Z17" s="41">
        <f t="shared" si="5"/>
        <v>0</v>
      </c>
      <c r="AA17" s="41">
        <f t="shared" si="5"/>
        <v>0</v>
      </c>
      <c r="AB17" s="38">
        <f aca="true" t="shared" si="6" ref="AB17:AB23">SUM(X17:AA17)</f>
        <v>0</v>
      </c>
      <c r="AC17" s="42"/>
    </row>
    <row r="18" spans="1:29" ht="15.75">
      <c r="A18" s="83" t="s">
        <v>26</v>
      </c>
      <c r="B18" s="44"/>
      <c r="C18" s="41"/>
      <c r="D18" s="41"/>
      <c r="E18" s="41"/>
      <c r="F18" s="41"/>
      <c r="G18" s="38">
        <f t="shared" si="0"/>
        <v>0</v>
      </c>
      <c r="H18" s="41"/>
      <c r="I18" s="88"/>
      <c r="J18" s="41"/>
      <c r="K18" s="41"/>
      <c r="L18" s="38">
        <f t="shared" si="1"/>
        <v>0</v>
      </c>
      <c r="M18" s="41"/>
      <c r="N18" s="41"/>
      <c r="O18" s="41"/>
      <c r="P18" s="41"/>
      <c r="Q18" s="38">
        <f t="shared" si="2"/>
        <v>0</v>
      </c>
      <c r="R18" s="39">
        <f t="shared" si="3"/>
        <v>0</v>
      </c>
      <c r="S18" s="41"/>
      <c r="T18" s="41"/>
      <c r="U18" s="41"/>
      <c r="V18" s="41"/>
      <c r="W18" s="38">
        <f t="shared" si="4"/>
        <v>0</v>
      </c>
      <c r="X18" s="41">
        <f aca="true" t="shared" si="7" ref="X18:X23">C18+H18+M18+S18</f>
        <v>0</v>
      </c>
      <c r="Y18" s="41">
        <f t="shared" si="5"/>
        <v>0</v>
      </c>
      <c r="Z18" s="41">
        <f t="shared" si="5"/>
        <v>0</v>
      </c>
      <c r="AA18" s="41">
        <f t="shared" si="5"/>
        <v>0</v>
      </c>
      <c r="AB18" s="38">
        <f t="shared" si="6"/>
        <v>0</v>
      </c>
      <c r="AC18" s="42"/>
    </row>
    <row r="19" spans="1:29" ht="15.75">
      <c r="A19" s="82" t="s">
        <v>27</v>
      </c>
      <c r="B19" s="44"/>
      <c r="C19" s="41"/>
      <c r="D19" s="41">
        <v>561101.91</v>
      </c>
      <c r="E19" s="41"/>
      <c r="F19" s="41"/>
      <c r="G19" s="38">
        <f t="shared" si="0"/>
        <v>561101.91</v>
      </c>
      <c r="H19" s="41"/>
      <c r="I19" s="41"/>
      <c r="J19" s="41"/>
      <c r="K19" s="41"/>
      <c r="L19" s="38">
        <f t="shared" si="1"/>
        <v>0</v>
      </c>
      <c r="M19" s="41"/>
      <c r="N19" s="41"/>
      <c r="O19" s="41"/>
      <c r="P19" s="41"/>
      <c r="Q19" s="38">
        <f t="shared" si="2"/>
        <v>0</v>
      </c>
      <c r="R19" s="39">
        <f t="shared" si="3"/>
        <v>561101.91</v>
      </c>
      <c r="S19" s="41"/>
      <c r="T19" s="41"/>
      <c r="U19" s="41"/>
      <c r="V19" s="41"/>
      <c r="W19" s="38">
        <f t="shared" si="4"/>
        <v>0</v>
      </c>
      <c r="X19" s="41">
        <f t="shared" si="7"/>
        <v>0</v>
      </c>
      <c r="Y19" s="41">
        <f t="shared" si="5"/>
        <v>561101.91</v>
      </c>
      <c r="Z19" s="41">
        <f t="shared" si="5"/>
        <v>0</v>
      </c>
      <c r="AA19" s="41">
        <f t="shared" si="5"/>
        <v>0</v>
      </c>
      <c r="AB19" s="38">
        <f t="shared" si="6"/>
        <v>561101.91</v>
      </c>
      <c r="AC19" s="42"/>
    </row>
    <row r="20" spans="1:29" ht="15.75">
      <c r="A20" s="82" t="s">
        <v>28</v>
      </c>
      <c r="B20" s="84"/>
      <c r="C20" s="85"/>
      <c r="D20" s="85"/>
      <c r="E20" s="41"/>
      <c r="F20" s="41"/>
      <c r="G20" s="38">
        <f t="shared" si="0"/>
        <v>0</v>
      </c>
      <c r="H20" s="41"/>
      <c r="I20" s="85"/>
      <c r="J20" s="41"/>
      <c r="K20" s="41"/>
      <c r="L20" s="38">
        <f t="shared" si="1"/>
        <v>0</v>
      </c>
      <c r="M20" s="86"/>
      <c r="N20" s="87"/>
      <c r="O20" s="41"/>
      <c r="P20" s="41"/>
      <c r="Q20" s="38">
        <f t="shared" si="2"/>
        <v>0</v>
      </c>
      <c r="R20" s="39">
        <f t="shared" si="3"/>
        <v>0</v>
      </c>
      <c r="S20" s="41"/>
      <c r="T20" s="41"/>
      <c r="U20" s="41"/>
      <c r="V20" s="41"/>
      <c r="W20" s="38">
        <f t="shared" si="4"/>
        <v>0</v>
      </c>
      <c r="X20" s="41">
        <f t="shared" si="7"/>
        <v>0</v>
      </c>
      <c r="Y20" s="41">
        <f t="shared" si="5"/>
        <v>0</v>
      </c>
      <c r="Z20" s="41">
        <f t="shared" si="5"/>
        <v>0</v>
      </c>
      <c r="AA20" s="41">
        <f t="shared" si="5"/>
        <v>0</v>
      </c>
      <c r="AB20" s="38">
        <f t="shared" si="6"/>
        <v>0</v>
      </c>
      <c r="AC20" s="42"/>
    </row>
    <row r="21" spans="1:29" ht="15.75">
      <c r="A21" s="82" t="s">
        <v>29</v>
      </c>
      <c r="B21" s="84"/>
      <c r="C21" s="41"/>
      <c r="D21" s="41"/>
      <c r="E21" s="41"/>
      <c r="F21" s="41"/>
      <c r="G21" s="38">
        <f t="shared" si="0"/>
        <v>0</v>
      </c>
      <c r="H21" s="41"/>
      <c r="I21" s="41"/>
      <c r="J21" s="41"/>
      <c r="K21" s="41"/>
      <c r="L21" s="38">
        <f t="shared" si="1"/>
        <v>0</v>
      </c>
      <c r="M21" s="41"/>
      <c r="N21" s="41"/>
      <c r="O21" s="41"/>
      <c r="P21" s="41"/>
      <c r="Q21" s="38">
        <f t="shared" si="2"/>
        <v>0</v>
      </c>
      <c r="R21" s="39">
        <f t="shared" si="3"/>
        <v>0</v>
      </c>
      <c r="S21" s="41"/>
      <c r="T21" s="41"/>
      <c r="U21" s="41"/>
      <c r="V21" s="41"/>
      <c r="W21" s="38">
        <f t="shared" si="4"/>
        <v>0</v>
      </c>
      <c r="X21" s="41">
        <f t="shared" si="7"/>
        <v>0</v>
      </c>
      <c r="Y21" s="41">
        <f t="shared" si="5"/>
        <v>0</v>
      </c>
      <c r="Z21" s="41">
        <f t="shared" si="5"/>
        <v>0</v>
      </c>
      <c r="AA21" s="41">
        <f t="shared" si="5"/>
        <v>0</v>
      </c>
      <c r="AB21" s="38">
        <f t="shared" si="6"/>
        <v>0</v>
      </c>
      <c r="AC21" s="42"/>
    </row>
    <row r="22" spans="1:29" ht="15.75">
      <c r="A22" s="82" t="s">
        <v>30</v>
      </c>
      <c r="B22" s="84"/>
      <c r="C22" s="41"/>
      <c r="D22" s="41"/>
      <c r="E22" s="41"/>
      <c r="F22" s="41"/>
      <c r="G22" s="38">
        <f t="shared" si="0"/>
        <v>0</v>
      </c>
      <c r="H22" s="41"/>
      <c r="I22" s="41"/>
      <c r="J22" s="41"/>
      <c r="K22" s="41"/>
      <c r="L22" s="38">
        <f t="shared" si="1"/>
        <v>0</v>
      </c>
      <c r="M22" s="41"/>
      <c r="N22" s="41"/>
      <c r="O22" s="41"/>
      <c r="P22" s="41"/>
      <c r="Q22" s="38">
        <f t="shared" si="2"/>
        <v>0</v>
      </c>
      <c r="R22" s="39">
        <f t="shared" si="3"/>
        <v>0</v>
      </c>
      <c r="S22" s="41"/>
      <c r="T22" s="41"/>
      <c r="U22" s="41"/>
      <c r="V22" s="41"/>
      <c r="W22" s="38">
        <f t="shared" si="4"/>
        <v>0</v>
      </c>
      <c r="X22" s="41">
        <f t="shared" si="7"/>
        <v>0</v>
      </c>
      <c r="Y22" s="41">
        <f t="shared" si="5"/>
        <v>0</v>
      </c>
      <c r="Z22" s="41">
        <f t="shared" si="5"/>
        <v>0</v>
      </c>
      <c r="AA22" s="41">
        <f t="shared" si="5"/>
        <v>0</v>
      </c>
      <c r="AB22" s="38">
        <f t="shared" si="6"/>
        <v>0</v>
      </c>
      <c r="AC22" s="42"/>
    </row>
    <row r="23" spans="1:29" ht="15.75">
      <c r="A23" s="82" t="s">
        <v>31</v>
      </c>
      <c r="B23" s="84"/>
      <c r="C23" s="41"/>
      <c r="D23" s="41"/>
      <c r="E23" s="41"/>
      <c r="F23" s="41"/>
      <c r="G23" s="38">
        <f t="shared" si="0"/>
        <v>0</v>
      </c>
      <c r="H23" s="41"/>
      <c r="I23" s="41"/>
      <c r="J23" s="41"/>
      <c r="K23" s="41"/>
      <c r="L23" s="38">
        <f t="shared" si="1"/>
        <v>0</v>
      </c>
      <c r="M23" s="41"/>
      <c r="N23" s="41"/>
      <c r="O23" s="41"/>
      <c r="P23" s="41"/>
      <c r="Q23" s="38">
        <f t="shared" si="2"/>
        <v>0</v>
      </c>
      <c r="R23" s="39">
        <f t="shared" si="3"/>
        <v>0</v>
      </c>
      <c r="S23" s="41"/>
      <c r="T23" s="41"/>
      <c r="U23" s="41"/>
      <c r="V23" s="41"/>
      <c r="W23" s="38">
        <f t="shared" si="4"/>
        <v>0</v>
      </c>
      <c r="X23" s="41">
        <f t="shared" si="7"/>
        <v>0</v>
      </c>
      <c r="Y23" s="41">
        <f t="shared" si="5"/>
        <v>0</v>
      </c>
      <c r="Z23" s="41">
        <f t="shared" si="5"/>
        <v>0</v>
      </c>
      <c r="AA23" s="41">
        <f t="shared" si="5"/>
        <v>0</v>
      </c>
      <c r="AB23" s="38">
        <f t="shared" si="6"/>
        <v>0</v>
      </c>
      <c r="AC23" s="42"/>
    </row>
    <row r="24" spans="1:29" ht="16.5" thickBot="1">
      <c r="A24" s="47"/>
      <c r="B24" s="84" t="s">
        <v>32</v>
      </c>
      <c r="C24" s="48">
        <f>C16+C20+C21+C23+C19+C22</f>
        <v>0</v>
      </c>
      <c r="D24" s="48">
        <f>D16+D20+D21+D23+D19+D22</f>
        <v>561101.91</v>
      </c>
      <c r="E24" s="48">
        <f>E16+E20+E21+E23+E19+E22</f>
        <v>0</v>
      </c>
      <c r="F24" s="48">
        <f>F16+F20+F21+F23+F19+F22</f>
        <v>0</v>
      </c>
      <c r="G24" s="48">
        <f>G16+G20+G21+G23+G19+G22</f>
        <v>561101.91</v>
      </c>
      <c r="H24" s="48">
        <f>H16+H20+H21+H23+H19+H22</f>
        <v>0</v>
      </c>
      <c r="I24" s="48">
        <f>I16+I20+I21+I23+I19+I22</f>
        <v>0</v>
      </c>
      <c r="J24" s="48">
        <f>J16+J20+J21+J23+J19+J22</f>
        <v>0</v>
      </c>
      <c r="K24" s="48">
        <f>K16+K20+K21+K23+K19+K22</f>
        <v>0</v>
      </c>
      <c r="L24" s="48">
        <f>L16+L20+L21+L23+L19+L22</f>
        <v>0</v>
      </c>
      <c r="M24" s="48">
        <f>M16+M20+M21+M23+M19+M22</f>
        <v>0</v>
      </c>
      <c r="N24" s="48">
        <f>N16+N20+N21+N23+N19+N22</f>
        <v>0</v>
      </c>
      <c r="O24" s="48">
        <f>O16+O20+O21+O23+O19+O22</f>
        <v>0</v>
      </c>
      <c r="P24" s="48">
        <f>P16+P20+P21+P23+P19+P22</f>
        <v>0</v>
      </c>
      <c r="Q24" s="48">
        <f>Q16+Q20+Q21+Q23+Q19+Q22</f>
        <v>0</v>
      </c>
      <c r="R24" s="48">
        <f>R16+R20+R21+R23</f>
        <v>0</v>
      </c>
      <c r="S24" s="48">
        <f>S16+S20+S21+S23+S19+S22</f>
        <v>0</v>
      </c>
      <c r="T24" s="48">
        <f>T16+T20+T21+T23+T19+T22</f>
        <v>0</v>
      </c>
      <c r="U24" s="48">
        <f>U16+U20+U21+U23+U19+U22</f>
        <v>0</v>
      </c>
      <c r="V24" s="48">
        <f>V16+V20+V21+V23+V19+V22</f>
        <v>0</v>
      </c>
      <c r="W24" s="48">
        <f>W16+W20+W21+W23+W19+W22</f>
        <v>0</v>
      </c>
      <c r="X24" s="48">
        <f>X16+X20+X21+X23+X19+X22</f>
        <v>0</v>
      </c>
      <c r="Y24" s="48">
        <f>Y16+Y20+Y21+Y23+Y19+Y22</f>
        <v>561101.91</v>
      </c>
      <c r="Z24" s="48">
        <f>Z16+Z20+Z21+Z23+Z19+Z22</f>
        <v>0</v>
      </c>
      <c r="AA24" s="48">
        <f>AA16+AA20+AA21+AA23+AA19+AA22</f>
        <v>0</v>
      </c>
      <c r="AB24" s="48">
        <f>AB16+AB20+AB21+AB23+AB19+AB22</f>
        <v>561101.91</v>
      </c>
      <c r="AC24" s="42"/>
    </row>
    <row r="25" spans="1:29" ht="16.5" thickTop="1">
      <c r="A25" s="47"/>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42"/>
    </row>
    <row r="26" spans="1:29" ht="16.5" thickBot="1">
      <c r="A26" s="330"/>
      <c r="B26" s="33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53"/>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84" t="s">
        <v>33</v>
      </c>
      <c r="B28" s="60"/>
      <c r="C28" s="61"/>
      <c r="D28" s="61"/>
      <c r="E28" s="61"/>
      <c r="F28" s="61"/>
      <c r="G28" s="61"/>
      <c r="H28" s="62"/>
      <c r="I28" s="62"/>
      <c r="J28" s="62"/>
      <c r="K28" s="62"/>
      <c r="L28" s="63"/>
      <c r="M28" s="63"/>
      <c r="N28" s="63"/>
      <c r="O28" s="63"/>
      <c r="P28" s="63"/>
      <c r="Q28" s="63"/>
      <c r="R28" s="63"/>
      <c r="S28" s="64"/>
      <c r="T28" s="61"/>
      <c r="U28" s="61"/>
      <c r="V28" s="61"/>
      <c r="W28" s="61"/>
      <c r="X28" s="61"/>
      <c r="Y28" s="61"/>
      <c r="Z28" s="61"/>
      <c r="AA28" s="61"/>
      <c r="AB28" s="61"/>
      <c r="AC28" s="65"/>
    </row>
    <row r="29" spans="1:29" ht="26.25">
      <c r="A29" s="84"/>
      <c r="B29" s="60"/>
      <c r="C29" s="78" t="s">
        <v>62</v>
      </c>
      <c r="D29" s="78" t="s">
        <v>34</v>
      </c>
      <c r="E29" s="78" t="s">
        <v>35</v>
      </c>
      <c r="F29" s="79"/>
      <c r="G29" s="78" t="s">
        <v>36</v>
      </c>
      <c r="H29" s="62"/>
      <c r="I29" s="62"/>
      <c r="J29" s="62"/>
      <c r="K29" s="62"/>
      <c r="L29" s="78" t="s">
        <v>34</v>
      </c>
      <c r="M29" s="78"/>
      <c r="N29" s="78" t="s">
        <v>35</v>
      </c>
      <c r="O29" s="79"/>
      <c r="P29" s="78" t="s">
        <v>36</v>
      </c>
      <c r="AB29" s="61"/>
      <c r="AC29" s="65"/>
    </row>
    <row r="30" spans="1:29" ht="15.75">
      <c r="A30" s="66" t="s">
        <v>37</v>
      </c>
      <c r="B30" s="60"/>
      <c r="C30" s="62">
        <f>SUM(C31:C36)</f>
        <v>7273919.71</v>
      </c>
      <c r="D30" s="62">
        <f>SUM(D31:D36)</f>
        <v>0</v>
      </c>
      <c r="E30" s="62">
        <f>SUM(E31:E36)</f>
        <v>0</v>
      </c>
      <c r="F30" s="62"/>
      <c r="G30" s="62">
        <f>SUM(G31:G36)</f>
        <v>7273919.71</v>
      </c>
      <c r="H30" s="62"/>
      <c r="I30" s="254" t="s">
        <v>52</v>
      </c>
      <c r="J30" s="67" t="s">
        <v>38</v>
      </c>
      <c r="K30" s="62"/>
      <c r="L30" s="68">
        <f>+L34+L38+L42</f>
        <v>0</v>
      </c>
      <c r="M30" s="68"/>
      <c r="N30" s="68">
        <f>+N34+N38+N42</f>
        <v>0</v>
      </c>
      <c r="O30" s="68"/>
      <c r="P30" s="68">
        <f>L30+N30</f>
        <v>0</v>
      </c>
      <c r="AB30" s="64"/>
      <c r="AC30" s="65"/>
    </row>
    <row r="31" spans="1:29" ht="15.75">
      <c r="A31" s="69"/>
      <c r="B31" s="66" t="s">
        <v>39</v>
      </c>
      <c r="C31" s="68"/>
      <c r="D31" s="68"/>
      <c r="E31" s="62"/>
      <c r="F31" s="62"/>
      <c r="G31" s="63">
        <f>C31+E31+D31</f>
        <v>0</v>
      </c>
      <c r="H31" s="62"/>
      <c r="I31" s="254"/>
      <c r="J31" s="64" t="s">
        <v>40</v>
      </c>
      <c r="K31" s="62"/>
      <c r="L31" s="70">
        <f>+L35+L39+L43</f>
        <v>0</v>
      </c>
      <c r="M31" s="70"/>
      <c r="N31" s="70">
        <f>+N35+N39+N43</f>
        <v>561101.91</v>
      </c>
      <c r="O31" s="70"/>
      <c r="P31" s="71">
        <f>L31+N31</f>
        <v>561101.91</v>
      </c>
      <c r="AB31" s="64"/>
      <c r="AC31" s="65"/>
    </row>
    <row r="32" spans="1:29" ht="16.5" thickBot="1">
      <c r="A32" s="69"/>
      <c r="B32" s="66" t="s">
        <v>67</v>
      </c>
      <c r="C32" s="91">
        <v>7273919.71</v>
      </c>
      <c r="D32" s="62"/>
      <c r="E32" s="62"/>
      <c r="F32" s="62"/>
      <c r="G32" s="63">
        <f aca="true" t="shared" si="8" ref="G32:G38">C32+E32+D32</f>
        <v>7273919.71</v>
      </c>
      <c r="H32" s="62"/>
      <c r="I32" s="254"/>
      <c r="J32" s="64" t="s">
        <v>41</v>
      </c>
      <c r="K32" s="62"/>
      <c r="L32" s="72">
        <f>L30-L31</f>
        <v>0</v>
      </c>
      <c r="M32" s="70"/>
      <c r="N32" s="72">
        <f>N30-N31</f>
        <v>-561101.91</v>
      </c>
      <c r="O32" s="70"/>
      <c r="P32" s="73">
        <f>P30-P31</f>
        <v>-561101.91</v>
      </c>
      <c r="AB32" s="64"/>
      <c r="AC32" s="65"/>
    </row>
    <row r="33" spans="1:29" ht="16.5" thickTop="1">
      <c r="A33" s="69"/>
      <c r="B33" s="66" t="s">
        <v>42</v>
      </c>
      <c r="C33" s="62"/>
      <c r="D33" s="62"/>
      <c r="E33" s="62">
        <f>+AB20</f>
        <v>0</v>
      </c>
      <c r="F33" s="62"/>
      <c r="G33" s="63">
        <f t="shared" si="8"/>
        <v>0</v>
      </c>
      <c r="H33" s="62"/>
      <c r="I33" s="76"/>
      <c r="J33" s="64"/>
      <c r="K33" s="62"/>
      <c r="L33" s="64"/>
      <c r="M33" s="64"/>
      <c r="N33" s="64"/>
      <c r="O33" s="64"/>
      <c r="P33" s="64"/>
      <c r="R33" s="77" t="s">
        <v>58</v>
      </c>
      <c r="X33" s="77" t="s">
        <v>60</v>
      </c>
      <c r="AB33" s="64"/>
      <c r="AC33" s="65"/>
    </row>
    <row r="34" spans="1:29" ht="15" customHeight="1">
      <c r="A34" s="69"/>
      <c r="B34" s="66" t="s">
        <v>43</v>
      </c>
      <c r="C34" s="62"/>
      <c r="D34" s="62"/>
      <c r="E34" s="62"/>
      <c r="F34" s="62"/>
      <c r="G34" s="63">
        <f t="shared" si="8"/>
        <v>0</v>
      </c>
      <c r="H34" s="62"/>
      <c r="I34" s="254" t="s">
        <v>53</v>
      </c>
      <c r="J34" s="67" t="s">
        <v>38</v>
      </c>
      <c r="K34" s="62"/>
      <c r="L34" s="68"/>
      <c r="M34" s="68"/>
      <c r="N34" s="68"/>
      <c r="O34" s="68"/>
      <c r="P34" s="68">
        <f>L34+N34</f>
        <v>0</v>
      </c>
      <c r="AB34" s="64"/>
      <c r="AC34" s="65"/>
    </row>
    <row r="35" spans="1:29" ht="15.75">
      <c r="A35" s="69"/>
      <c r="B35" s="66" t="s">
        <v>44</v>
      </c>
      <c r="C35" s="62"/>
      <c r="D35" s="62"/>
      <c r="E35" s="62"/>
      <c r="F35" s="62"/>
      <c r="G35" s="63">
        <f t="shared" si="8"/>
        <v>0</v>
      </c>
      <c r="H35" s="62"/>
      <c r="I35" s="254"/>
      <c r="J35" s="64" t="s">
        <v>40</v>
      </c>
      <c r="K35" s="62"/>
      <c r="L35" s="70"/>
      <c r="M35" s="70"/>
      <c r="N35" s="70">
        <f>+G24</f>
        <v>561101.91</v>
      </c>
      <c r="O35" s="70"/>
      <c r="P35" s="71">
        <f>L35+N35</f>
        <v>561101.91</v>
      </c>
      <c r="AB35" s="64"/>
      <c r="AC35" s="65"/>
    </row>
    <row r="36" spans="1:29" ht="16.5" thickBot="1">
      <c r="A36" s="69"/>
      <c r="B36" s="66" t="s">
        <v>45</v>
      </c>
      <c r="C36" s="62"/>
      <c r="D36" s="62"/>
      <c r="E36" s="62"/>
      <c r="F36" s="62"/>
      <c r="G36" s="63">
        <f t="shared" si="8"/>
        <v>0</v>
      </c>
      <c r="H36" s="62"/>
      <c r="I36" s="254"/>
      <c r="J36" s="64" t="s">
        <v>41</v>
      </c>
      <c r="K36" s="62"/>
      <c r="L36" s="72">
        <f>L34-L35</f>
        <v>0</v>
      </c>
      <c r="M36" s="70"/>
      <c r="N36" s="72">
        <f>N34-N35</f>
        <v>-561101.91</v>
      </c>
      <c r="O36" s="70"/>
      <c r="P36" s="73">
        <f>P34-P35</f>
        <v>-561101.91</v>
      </c>
      <c r="AB36" s="64"/>
      <c r="AC36" s="65"/>
    </row>
    <row r="37" spans="1:29" ht="16.5" thickTop="1">
      <c r="A37" s="74" t="s">
        <v>46</v>
      </c>
      <c r="B37" s="66"/>
      <c r="C37" s="62"/>
      <c r="D37" s="62"/>
      <c r="E37" s="62"/>
      <c r="F37" s="62"/>
      <c r="G37" s="63">
        <f t="shared" si="8"/>
        <v>0</v>
      </c>
      <c r="H37" s="62"/>
      <c r="I37" s="76"/>
      <c r="J37" s="64"/>
      <c r="K37" s="62"/>
      <c r="L37" s="64"/>
      <c r="M37" s="64"/>
      <c r="N37" s="64"/>
      <c r="O37" s="64"/>
      <c r="P37" s="64"/>
      <c r="AB37" s="64"/>
      <c r="AC37" s="65"/>
    </row>
    <row r="38" spans="1:29" ht="15" customHeight="1">
      <c r="A38" s="74" t="s">
        <v>47</v>
      </c>
      <c r="B38" s="66"/>
      <c r="C38" s="62"/>
      <c r="D38" s="62"/>
      <c r="E38" s="62"/>
      <c r="F38" s="62"/>
      <c r="G38" s="63">
        <f t="shared" si="8"/>
        <v>0</v>
      </c>
      <c r="H38" s="62"/>
      <c r="I38" s="254" t="s">
        <v>54</v>
      </c>
      <c r="J38" s="67" t="s">
        <v>38</v>
      </c>
      <c r="K38" s="62"/>
      <c r="L38" s="68"/>
      <c r="M38" s="68"/>
      <c r="N38" s="68"/>
      <c r="O38" s="68"/>
      <c r="P38" s="68">
        <f>L38+N38</f>
        <v>0</v>
      </c>
      <c r="R38" s="329" t="s">
        <v>59</v>
      </c>
      <c r="S38" s="329"/>
      <c r="X38" s="329" t="s">
        <v>61</v>
      </c>
      <c r="Y38" s="329"/>
      <c r="AB38" s="64"/>
      <c r="AC38" s="65"/>
    </row>
    <row r="39" spans="2:29" ht="15.75">
      <c r="B39" s="74" t="s">
        <v>65</v>
      </c>
      <c r="C39" s="62"/>
      <c r="D39" s="62"/>
      <c r="E39" s="62"/>
      <c r="F39" s="62"/>
      <c r="G39" s="63">
        <f>C39+E39+D39</f>
        <v>0</v>
      </c>
      <c r="H39" s="62"/>
      <c r="I39" s="254"/>
      <c r="J39" s="64" t="s">
        <v>40</v>
      </c>
      <c r="K39" s="62"/>
      <c r="L39" s="70"/>
      <c r="M39" s="70"/>
      <c r="N39" s="70">
        <f>+Q24</f>
        <v>0</v>
      </c>
      <c r="O39" s="70"/>
      <c r="P39" s="71">
        <f>L39+N39</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3">
        <f>P38-P39</f>
        <v>0</v>
      </c>
      <c r="AB40" s="64"/>
      <c r="AC40" s="65"/>
    </row>
    <row r="41" spans="1:29" ht="16.5" thickTop="1">
      <c r="A41" s="66" t="s">
        <v>48</v>
      </c>
      <c r="B41" s="66"/>
      <c r="C41" s="62">
        <f>C30-C37+C38-C39+C40</f>
        <v>7273919.71</v>
      </c>
      <c r="D41" s="62">
        <f>D30-D37+D38-D39+D40</f>
        <v>0</v>
      </c>
      <c r="E41" s="62">
        <f>E30-E37+E38-E39+E40</f>
        <v>0</v>
      </c>
      <c r="F41" s="62"/>
      <c r="G41" s="62">
        <f>G30-G37+G38-G39+G40</f>
        <v>7273919.71</v>
      </c>
      <c r="H41" s="62"/>
      <c r="I41" s="76"/>
      <c r="J41" s="64"/>
      <c r="K41" s="62"/>
      <c r="L41" s="64"/>
      <c r="M41" s="64"/>
      <c r="N41" s="64"/>
      <c r="O41" s="64"/>
      <c r="P41" s="64"/>
      <c r="AB41" s="64"/>
      <c r="AC41" s="65"/>
    </row>
    <row r="42" spans="1:29" ht="15" customHeight="1">
      <c r="A42" s="74" t="s">
        <v>51</v>
      </c>
      <c r="B42" s="66"/>
      <c r="C42" s="62"/>
      <c r="D42" s="62"/>
      <c r="E42" s="62"/>
      <c r="F42" s="62"/>
      <c r="G42" s="63">
        <f>C42+E42+D42</f>
        <v>0</v>
      </c>
      <c r="H42" s="62"/>
      <c r="I42" s="254" t="s">
        <v>55</v>
      </c>
      <c r="J42" s="67" t="s">
        <v>38</v>
      </c>
      <c r="K42" s="62"/>
      <c r="L42" s="68"/>
      <c r="M42" s="68"/>
      <c r="N42" s="68">
        <v>0</v>
      </c>
      <c r="O42" s="68"/>
      <c r="P42" s="68">
        <f>L42+N42</f>
        <v>0</v>
      </c>
      <c r="AB42" s="64"/>
      <c r="AC42" s="65"/>
    </row>
    <row r="43" spans="1:29" ht="15.75">
      <c r="A43" s="69"/>
      <c r="B43" s="66" t="s">
        <v>49</v>
      </c>
      <c r="C43" s="62"/>
      <c r="D43" s="62"/>
      <c r="E43" s="62">
        <f>AB24</f>
        <v>561101.91</v>
      </c>
      <c r="F43" s="62"/>
      <c r="G43" s="63">
        <f>C43+E43+D43</f>
        <v>561101.91</v>
      </c>
      <c r="H43" s="25"/>
      <c r="I43" s="254"/>
      <c r="J43" s="64" t="s">
        <v>40</v>
      </c>
      <c r="K43" s="25"/>
      <c r="L43" s="70"/>
      <c r="M43" s="70"/>
      <c r="N43" s="70">
        <f>+L24</f>
        <v>0</v>
      </c>
      <c r="O43" s="70"/>
      <c r="P43" s="71">
        <f>L43+N43</f>
        <v>0</v>
      </c>
      <c r="AB43" s="27"/>
      <c r="AC43" s="28"/>
    </row>
    <row r="44" spans="1:29" ht="16.5" thickBot="1">
      <c r="A44" s="74" t="s">
        <v>50</v>
      </c>
      <c r="B44" s="49"/>
      <c r="C44" s="75">
        <f>C41-C42-C43</f>
        <v>7273919.71</v>
      </c>
      <c r="D44" s="75">
        <f>D41-D42-D43</f>
        <v>0</v>
      </c>
      <c r="E44" s="75">
        <f>E41-E42-E43</f>
        <v>-561101.91</v>
      </c>
      <c r="F44" s="62"/>
      <c r="G44" s="75">
        <f>G41-G42-G43</f>
        <v>6712817.8</v>
      </c>
      <c r="H44" s="25"/>
      <c r="I44" s="254"/>
      <c r="J44" s="64" t="s">
        <v>41</v>
      </c>
      <c r="K44" s="25"/>
      <c r="L44" s="72">
        <f>L42-L43</f>
        <v>0</v>
      </c>
      <c r="M44" s="70"/>
      <c r="N44" s="72">
        <f>N42-N43</f>
        <v>0</v>
      </c>
      <c r="O44" s="70"/>
      <c r="P44" s="73">
        <f>P42-P43</f>
        <v>0</v>
      </c>
      <c r="AB44" s="27"/>
      <c r="AC44" s="28"/>
    </row>
    <row r="45" spans="1:7" ht="16.5" thickTop="1">
      <c r="A45" s="29"/>
      <c r="B45" s="30"/>
      <c r="C45" s="25"/>
      <c r="D45" s="25"/>
      <c r="E45" s="25"/>
      <c r="F45" s="25"/>
      <c r="G45" s="26"/>
    </row>
    <row r="46" spans="1:7" ht="15.75">
      <c r="A46" s="29"/>
      <c r="B46" s="24" t="s">
        <v>64</v>
      </c>
      <c r="C46" s="25"/>
      <c r="D46" s="25"/>
      <c r="E46" s="25"/>
      <c r="F46" s="25"/>
      <c r="G46" s="26"/>
    </row>
    <row r="47" ht="15.75">
      <c r="B47" s="80" t="s">
        <v>69</v>
      </c>
    </row>
    <row r="48" ht="15.75">
      <c r="B48" s="81" t="s">
        <v>75</v>
      </c>
    </row>
    <row r="49" ht="15.75">
      <c r="B49" s="81" t="s">
        <v>74</v>
      </c>
    </row>
    <row r="50" ht="15.75">
      <c r="B50" s="81" t="s">
        <v>76</v>
      </c>
    </row>
    <row r="51" ht="15.75">
      <c r="B51" s="81" t="s">
        <v>72</v>
      </c>
    </row>
    <row r="52" ht="15.75">
      <c r="B52" s="81" t="s">
        <v>73</v>
      </c>
    </row>
    <row r="53" ht="15.75">
      <c r="B53" s="81" t="s">
        <v>77</v>
      </c>
    </row>
    <row r="54" ht="15.75">
      <c r="B54" s="80"/>
    </row>
  </sheetData>
  <sheetProtection/>
  <mergeCells count="28">
    <mergeCell ref="R38:S38"/>
    <mergeCell ref="X38:Y38"/>
    <mergeCell ref="S14:W14"/>
    <mergeCell ref="X14:AB14"/>
    <mergeCell ref="A15:B15"/>
    <mergeCell ref="A16:B16"/>
    <mergeCell ref="A17:B17"/>
    <mergeCell ref="A14:B14"/>
    <mergeCell ref="C14:G14"/>
    <mergeCell ref="H14:L14"/>
    <mergeCell ref="M14:Q14"/>
    <mergeCell ref="I42:I44"/>
    <mergeCell ref="A26:B26"/>
    <mergeCell ref="I30:I32"/>
    <mergeCell ref="I34:I36"/>
    <mergeCell ref="I38:I40"/>
    <mergeCell ref="A1:AC1"/>
    <mergeCell ref="A2:AC2"/>
    <mergeCell ref="A3:AC3"/>
    <mergeCell ref="A11:B13"/>
    <mergeCell ref="C11:G12"/>
    <mergeCell ref="H11:Q11"/>
    <mergeCell ref="R11:R13"/>
    <mergeCell ref="S11:W12"/>
    <mergeCell ref="X11:AB12"/>
    <mergeCell ref="AC11:AC13"/>
    <mergeCell ref="H12:L12"/>
    <mergeCell ref="M12:Q12"/>
  </mergeCells>
  <printOptions horizontalCentered="1"/>
  <pageMargins left="0.159448818897638" right="0.159448818897638" top="0.21259842519685" bottom="0.21259842519685" header="0.5" footer="0.5"/>
  <pageSetup orientation="landscape" paperSize="5" scale="65" r:id="rId1"/>
</worksheet>
</file>

<file path=xl/worksheets/sheet15.xml><?xml version="1.0" encoding="utf-8"?>
<worksheet xmlns="http://schemas.openxmlformats.org/spreadsheetml/2006/main" xmlns:r="http://schemas.openxmlformats.org/officeDocument/2006/relationships">
  <dimension ref="A1:AD53"/>
  <sheetViews>
    <sheetView zoomScalePageLayoutView="0" workbookViewId="0" topLeftCell="A16">
      <selection activeCell="N41" sqref="N41"/>
    </sheetView>
  </sheetViews>
  <sheetFormatPr defaultColWidth="11.00390625" defaultRowHeight="15.75"/>
  <cols>
    <col min="1" max="1" width="3.50390625" style="1" customWidth="1"/>
    <col min="2" max="2" width="34.375" style="1" customWidth="1"/>
    <col min="3" max="3" width="12.625" style="6" customWidth="1"/>
    <col min="4" max="4" width="13.375" style="6" customWidth="1"/>
    <col min="5" max="5" width="13.50390625" style="6" customWidth="1"/>
    <col min="6" max="6" width="8.50390625" style="6" customWidth="1"/>
    <col min="7" max="7" width="12.00390625" style="6" customWidth="1"/>
    <col min="8" max="8" width="13.00390625" style="6" customWidth="1"/>
    <col min="9" max="9" width="11.75390625" style="6" customWidth="1"/>
    <col min="10" max="10" width="10.375" style="6" customWidth="1"/>
    <col min="11" max="11" width="11.375" style="6" customWidth="1"/>
    <col min="12" max="12" width="13.50390625" style="6" customWidth="1"/>
    <col min="13" max="13" width="8.50390625" style="6" customWidth="1"/>
    <col min="14" max="14" width="11.875" style="6" customWidth="1"/>
    <col min="15" max="15" width="7.125" style="6" customWidth="1"/>
    <col min="16" max="16" width="12.375" style="6" customWidth="1"/>
    <col min="17" max="17" width="9.625" style="6" customWidth="1"/>
    <col min="18" max="18" width="13.375" style="6" customWidth="1"/>
    <col min="19" max="19" width="6.00390625" style="6" customWidth="1"/>
    <col min="20" max="20" width="6.50390625" style="6" customWidth="1"/>
    <col min="21" max="21" width="6.00390625" style="6" customWidth="1"/>
    <col min="22" max="22" width="8.375" style="6" customWidth="1"/>
    <col min="23" max="23" width="7.375" style="6" customWidth="1"/>
    <col min="24" max="24" width="13.25390625" style="6" customWidth="1"/>
    <col min="25" max="25" width="11.875" style="6" customWidth="1"/>
    <col min="26" max="28" width="10.875" style="6" customWidth="1"/>
    <col min="29" max="29" width="0.5" style="1" customWidth="1"/>
  </cols>
  <sheetData>
    <row r="1" spans="1:29" ht="15.75">
      <c r="A1" s="301" t="s">
        <v>68</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row>
    <row r="2" spans="1:29" ht="15.75">
      <c r="A2" s="301" t="s">
        <v>83</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row>
    <row r="3" spans="1:29" ht="15.75">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row>
    <row r="4" spans="1:23" ht="15.75">
      <c r="A4" s="2"/>
      <c r="B4" s="2"/>
      <c r="C4" s="3"/>
      <c r="D4" s="3"/>
      <c r="E4" s="3"/>
      <c r="F4" s="3"/>
      <c r="G4" s="3"/>
      <c r="H4" s="4"/>
      <c r="I4" s="4"/>
      <c r="J4" s="4"/>
      <c r="K4" s="5"/>
      <c r="L4" s="5"/>
      <c r="M4" s="5"/>
      <c r="N4" s="5"/>
      <c r="O4" s="5"/>
      <c r="P4" s="5"/>
      <c r="Q4" s="5"/>
      <c r="R4" s="5"/>
      <c r="S4" s="5"/>
      <c r="T4" s="4"/>
      <c r="U4" s="4"/>
      <c r="V4" s="4"/>
      <c r="W4" s="4"/>
    </row>
    <row r="5" spans="1:29" ht="15.75">
      <c r="A5" s="8" t="s">
        <v>0</v>
      </c>
      <c r="B5" s="9"/>
      <c r="C5" s="10"/>
      <c r="D5" s="10"/>
      <c r="E5" s="10"/>
      <c r="F5" s="10"/>
      <c r="G5" s="10"/>
      <c r="H5" s="10"/>
      <c r="I5" s="10"/>
      <c r="J5" s="10"/>
      <c r="K5" s="11"/>
      <c r="L5" s="11"/>
      <c r="M5" s="11"/>
      <c r="N5" s="11"/>
      <c r="O5" s="11"/>
      <c r="P5" s="11"/>
      <c r="Q5" s="11"/>
      <c r="R5" s="11"/>
      <c r="S5" s="11"/>
      <c r="T5" s="10"/>
      <c r="U5" s="10"/>
      <c r="V5" s="10"/>
      <c r="W5" s="10"/>
      <c r="X5" s="10"/>
      <c r="Y5" s="10"/>
      <c r="Z5" s="10"/>
      <c r="AA5" s="10"/>
      <c r="AB5" s="10"/>
      <c r="AC5"/>
    </row>
    <row r="6" spans="1:29" ht="15.75">
      <c r="A6" s="8" t="s">
        <v>1</v>
      </c>
      <c r="B6" s="9"/>
      <c r="C6" s="10"/>
      <c r="D6" s="10"/>
      <c r="E6" s="10"/>
      <c r="F6" s="8"/>
      <c r="G6" s="9"/>
      <c r="H6" s="10"/>
      <c r="I6" s="10"/>
      <c r="J6" s="10"/>
      <c r="K6" s="10"/>
      <c r="L6" s="10"/>
      <c r="M6" s="10"/>
      <c r="N6" s="10"/>
      <c r="O6" s="10"/>
      <c r="P6" s="10"/>
      <c r="Q6" s="10"/>
      <c r="R6" s="10"/>
      <c r="S6" s="10"/>
      <c r="T6" s="10"/>
      <c r="U6" s="10"/>
      <c r="V6" s="10"/>
      <c r="W6" s="10"/>
      <c r="X6" s="10"/>
      <c r="Y6" s="10"/>
      <c r="Z6" s="10"/>
      <c r="AA6" s="10"/>
      <c r="AB6" s="10"/>
      <c r="AC6"/>
    </row>
    <row r="7" spans="1:29" ht="15.75">
      <c r="A7" s="8" t="s">
        <v>2</v>
      </c>
      <c r="B7" s="9"/>
      <c r="C7" s="10"/>
      <c r="D7" s="10"/>
      <c r="E7" s="10"/>
      <c r="F7" s="8"/>
      <c r="G7" s="9"/>
      <c r="H7" s="10"/>
      <c r="I7" s="10"/>
      <c r="J7" s="10"/>
      <c r="K7" s="10"/>
      <c r="L7" s="10"/>
      <c r="M7" s="10"/>
      <c r="N7" s="10"/>
      <c r="O7" s="10"/>
      <c r="P7" s="10"/>
      <c r="Q7" s="10"/>
      <c r="R7" s="10"/>
      <c r="S7" s="10"/>
      <c r="T7" s="10"/>
      <c r="U7" s="10"/>
      <c r="V7" s="10"/>
      <c r="W7" s="10"/>
      <c r="X7" s="10"/>
      <c r="Y7" s="10"/>
      <c r="Z7" s="10"/>
      <c r="AA7" s="10"/>
      <c r="AB7" s="10"/>
      <c r="AC7"/>
    </row>
    <row r="8" spans="1:29" ht="15.75">
      <c r="A8" s="8" t="s">
        <v>79</v>
      </c>
      <c r="B8" s="9"/>
      <c r="C8" s="10"/>
      <c r="D8" s="10"/>
      <c r="E8" s="10"/>
      <c r="F8" s="10"/>
      <c r="G8" s="10"/>
      <c r="H8" s="10"/>
      <c r="I8" s="10"/>
      <c r="J8" s="10"/>
      <c r="K8" s="10"/>
      <c r="L8" s="10"/>
      <c r="M8" s="10"/>
      <c r="N8" s="10"/>
      <c r="O8" s="10"/>
      <c r="P8" s="10"/>
      <c r="Q8" s="10"/>
      <c r="R8" s="10"/>
      <c r="S8" s="10"/>
      <c r="T8" s="10"/>
      <c r="U8" s="10"/>
      <c r="V8" s="10"/>
      <c r="W8" s="10"/>
      <c r="X8" s="10"/>
      <c r="Y8" s="10"/>
      <c r="Z8" s="10"/>
      <c r="AA8" s="10"/>
      <c r="AB8" s="10"/>
      <c r="AC8"/>
    </row>
    <row r="9" spans="1:29" ht="15.75">
      <c r="A9" s="8" t="s">
        <v>78</v>
      </c>
      <c r="B9" s="9"/>
      <c r="C9"/>
      <c r="D9"/>
      <c r="E9"/>
      <c r="F9"/>
      <c r="G9"/>
      <c r="H9"/>
      <c r="I9"/>
      <c r="J9"/>
      <c r="K9"/>
      <c r="L9"/>
      <c r="M9"/>
      <c r="N9"/>
      <c r="O9"/>
      <c r="P9"/>
      <c r="Q9"/>
      <c r="R9"/>
      <c r="S9"/>
      <c r="T9"/>
      <c r="U9"/>
      <c r="V9"/>
      <c r="W9"/>
      <c r="X9"/>
      <c r="Y9"/>
      <c r="Z9"/>
      <c r="AA9"/>
      <c r="AB9"/>
      <c r="AC9"/>
    </row>
    <row r="10" spans="1:29" ht="16.5" thickBot="1">
      <c r="A10" s="8"/>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row>
    <row r="11" spans="1:29" ht="15.75">
      <c r="A11" s="302" t="s">
        <v>4</v>
      </c>
      <c r="B11" s="303"/>
      <c r="C11" s="308" t="s">
        <v>5</v>
      </c>
      <c r="D11" s="309"/>
      <c r="E11" s="309"/>
      <c r="F11" s="309"/>
      <c r="G11" s="310"/>
      <c r="H11" s="314" t="s">
        <v>6</v>
      </c>
      <c r="I11" s="315"/>
      <c r="J11" s="315"/>
      <c r="K11" s="315"/>
      <c r="L11" s="315"/>
      <c r="M11" s="315"/>
      <c r="N11" s="315"/>
      <c r="O11" s="315"/>
      <c r="P11" s="315"/>
      <c r="Q11" s="316"/>
      <c r="R11" s="317" t="s">
        <v>7</v>
      </c>
      <c r="S11" s="308" t="s">
        <v>8</v>
      </c>
      <c r="T11" s="309"/>
      <c r="U11" s="309"/>
      <c r="V11" s="309"/>
      <c r="W11" s="309"/>
      <c r="X11" s="308" t="s">
        <v>9</v>
      </c>
      <c r="Y11" s="309"/>
      <c r="Z11" s="309"/>
      <c r="AA11" s="309"/>
      <c r="AB11" s="310"/>
      <c r="AC11" s="323" t="s">
        <v>10</v>
      </c>
    </row>
    <row r="12" spans="1:29" ht="15.75">
      <c r="A12" s="304"/>
      <c r="B12" s="305"/>
      <c r="C12" s="311"/>
      <c r="D12" s="312"/>
      <c r="E12" s="312"/>
      <c r="F12" s="312"/>
      <c r="G12" s="313"/>
      <c r="H12" s="325" t="s">
        <v>57</v>
      </c>
      <c r="I12" s="326"/>
      <c r="J12" s="326"/>
      <c r="K12" s="326"/>
      <c r="L12" s="327"/>
      <c r="M12" s="325" t="s">
        <v>56</v>
      </c>
      <c r="N12" s="326"/>
      <c r="O12" s="326"/>
      <c r="P12" s="326"/>
      <c r="Q12" s="327"/>
      <c r="R12" s="318"/>
      <c r="S12" s="320"/>
      <c r="T12" s="321"/>
      <c r="U12" s="321"/>
      <c r="V12" s="321"/>
      <c r="W12" s="321"/>
      <c r="X12" s="320"/>
      <c r="Y12" s="321"/>
      <c r="Z12" s="321"/>
      <c r="AA12" s="321"/>
      <c r="AB12" s="322"/>
      <c r="AC12" s="324"/>
    </row>
    <row r="13" spans="1:29" ht="16.5" thickBot="1">
      <c r="A13" s="306"/>
      <c r="B13" s="307"/>
      <c r="C13" s="13" t="s">
        <v>11</v>
      </c>
      <c r="D13" s="14" t="s">
        <v>12</v>
      </c>
      <c r="E13" s="14" t="s">
        <v>13</v>
      </c>
      <c r="F13" s="14" t="s">
        <v>14</v>
      </c>
      <c r="G13" s="15" t="s">
        <v>15</v>
      </c>
      <c r="H13" s="16" t="s">
        <v>11</v>
      </c>
      <c r="I13" s="17" t="s">
        <v>12</v>
      </c>
      <c r="J13" s="18" t="s">
        <v>13</v>
      </c>
      <c r="K13" s="17" t="s">
        <v>14</v>
      </c>
      <c r="L13" s="19" t="s">
        <v>15</v>
      </c>
      <c r="M13" s="16" t="s">
        <v>11</v>
      </c>
      <c r="N13" s="17" t="s">
        <v>12</v>
      </c>
      <c r="O13" s="18" t="s">
        <v>13</v>
      </c>
      <c r="P13" s="17" t="s">
        <v>14</v>
      </c>
      <c r="Q13" s="19" t="s">
        <v>15</v>
      </c>
      <c r="R13" s="319"/>
      <c r="S13" s="16" t="s">
        <v>11</v>
      </c>
      <c r="T13" s="17" t="s">
        <v>12</v>
      </c>
      <c r="U13" s="17" t="s">
        <v>13</v>
      </c>
      <c r="V13" s="17" t="s">
        <v>14</v>
      </c>
      <c r="W13" s="20" t="s">
        <v>15</v>
      </c>
      <c r="X13" s="21" t="s">
        <v>11</v>
      </c>
      <c r="Y13" s="18" t="s">
        <v>12</v>
      </c>
      <c r="Z13" s="18" t="s">
        <v>13</v>
      </c>
      <c r="AA13" s="18" t="s">
        <v>14</v>
      </c>
      <c r="AB13" s="22" t="s">
        <v>15</v>
      </c>
      <c r="AC13" s="324"/>
    </row>
    <row r="14" spans="1:30" ht="16.5" thickBot="1">
      <c r="A14" s="260" t="s">
        <v>16</v>
      </c>
      <c r="B14" s="261"/>
      <c r="C14" s="255" t="s">
        <v>17</v>
      </c>
      <c r="D14" s="256"/>
      <c r="E14" s="256"/>
      <c r="F14" s="256"/>
      <c r="G14" s="262"/>
      <c r="H14" s="269" t="s">
        <v>18</v>
      </c>
      <c r="I14" s="256"/>
      <c r="J14" s="256"/>
      <c r="K14" s="256"/>
      <c r="L14" s="262"/>
      <c r="M14" s="269" t="s">
        <v>19</v>
      </c>
      <c r="N14" s="256"/>
      <c r="O14" s="256"/>
      <c r="P14" s="256"/>
      <c r="Q14" s="262"/>
      <c r="R14" s="31" t="s">
        <v>20</v>
      </c>
      <c r="S14" s="269" t="s">
        <v>21</v>
      </c>
      <c r="T14" s="256"/>
      <c r="U14" s="256"/>
      <c r="V14" s="256"/>
      <c r="W14" s="257"/>
      <c r="X14" s="255" t="s">
        <v>22</v>
      </c>
      <c r="Y14" s="256"/>
      <c r="Z14" s="256"/>
      <c r="AA14" s="256"/>
      <c r="AB14" s="257"/>
      <c r="AC14" s="32" t="s">
        <v>23</v>
      </c>
      <c r="AD14" t="s">
        <v>63</v>
      </c>
    </row>
    <row r="15" spans="1:29" ht="15.75">
      <c r="A15" s="248"/>
      <c r="B15" s="249"/>
      <c r="C15" s="33"/>
      <c r="D15" s="33"/>
      <c r="E15" s="33"/>
      <c r="F15" s="33"/>
      <c r="G15" s="33"/>
      <c r="H15" s="34"/>
      <c r="I15" s="33"/>
      <c r="J15" s="33"/>
      <c r="K15" s="33"/>
      <c r="L15" s="33"/>
      <c r="M15" s="34"/>
      <c r="N15" s="33"/>
      <c r="O15" s="33"/>
      <c r="P15" s="33"/>
      <c r="Q15" s="33"/>
      <c r="R15" s="34"/>
      <c r="S15" s="34"/>
      <c r="T15" s="33"/>
      <c r="U15" s="33"/>
      <c r="V15" s="33"/>
      <c r="W15" s="33"/>
      <c r="X15" s="34"/>
      <c r="Y15" s="33"/>
      <c r="Z15" s="33"/>
      <c r="AA15" s="33"/>
      <c r="AB15" s="35"/>
      <c r="AC15" s="36"/>
    </row>
    <row r="16" spans="1:29" ht="15.75">
      <c r="A16" s="250" t="s">
        <v>24</v>
      </c>
      <c r="B16" s="299"/>
      <c r="C16" s="37">
        <f>C17+C18</f>
        <v>5603783.26</v>
      </c>
      <c r="D16" s="37">
        <f>D17+D18</f>
        <v>1154979.02</v>
      </c>
      <c r="E16" s="37">
        <f>E17+E18</f>
        <v>0</v>
      </c>
      <c r="F16" s="37">
        <f>F17+F18</f>
        <v>0</v>
      </c>
      <c r="G16" s="38">
        <f>SUM(C16:F16)</f>
        <v>6758762.279999999</v>
      </c>
      <c r="H16" s="37">
        <f>H17+H18</f>
        <v>5619356.74</v>
      </c>
      <c r="I16" s="37">
        <f>I17+I18</f>
        <v>17865954.93</v>
      </c>
      <c r="J16" s="37">
        <f>J17+J18</f>
        <v>0</v>
      </c>
      <c r="K16" s="37">
        <f>K17+K18</f>
        <v>24523620.53</v>
      </c>
      <c r="L16" s="38">
        <f>SUM(H16:K16)</f>
        <v>48008932.2</v>
      </c>
      <c r="M16" s="37">
        <f>M17+M18</f>
        <v>0</v>
      </c>
      <c r="N16" s="37">
        <f>N17+N18</f>
        <v>0</v>
      </c>
      <c r="O16" s="37">
        <f>O17+O18</f>
        <v>0</v>
      </c>
      <c r="P16" s="37">
        <f>P17+P18</f>
        <v>0</v>
      </c>
      <c r="Q16" s="38">
        <f>SUM(M16:P16)</f>
        <v>0</v>
      </c>
      <c r="R16" s="39">
        <f>G16+L16+Q16</f>
        <v>54767694.480000004</v>
      </c>
      <c r="S16" s="37">
        <f>S17+S18</f>
        <v>0</v>
      </c>
      <c r="T16" s="37">
        <f>T17+T18</f>
        <v>0</v>
      </c>
      <c r="U16" s="37">
        <f>U17+U18</f>
        <v>0</v>
      </c>
      <c r="V16" s="37">
        <f>V17+V18</f>
        <v>0</v>
      </c>
      <c r="W16" s="38">
        <f>SUM(S16:V16)</f>
        <v>0</v>
      </c>
      <c r="X16" s="37">
        <f>X17+X18</f>
        <v>11223140</v>
      </c>
      <c r="Y16" s="37">
        <f>Y17+Y18</f>
        <v>19020933.95</v>
      </c>
      <c r="Z16" s="37">
        <f>Z17+Z18</f>
        <v>0</v>
      </c>
      <c r="AA16" s="37">
        <f>AA17+AA18</f>
        <v>24523620.53</v>
      </c>
      <c r="AB16" s="38">
        <f>SUM(X16:AA16)</f>
        <v>54767694.480000004</v>
      </c>
      <c r="AC16" s="40"/>
    </row>
    <row r="17" spans="1:29" ht="15.75">
      <c r="A17" s="252" t="s">
        <v>25</v>
      </c>
      <c r="B17" s="300"/>
      <c r="C17" s="89">
        <v>5603783.26</v>
      </c>
      <c r="D17" s="90">
        <v>1154979.02</v>
      </c>
      <c r="E17" s="41"/>
      <c r="F17" s="41"/>
      <c r="G17" s="38">
        <f aca="true" t="shared" si="0" ref="G17:G23">SUM(C17:F17)</f>
        <v>6758762.279999999</v>
      </c>
      <c r="H17" s="91">
        <v>5619356.74</v>
      </c>
      <c r="I17" s="92">
        <v>16743976.45</v>
      </c>
      <c r="J17" s="41"/>
      <c r="K17" s="87">
        <v>24523620.53</v>
      </c>
      <c r="L17" s="38">
        <f aca="true" t="shared" si="1" ref="L17:L23">SUM(H17:K17)</f>
        <v>46886953.72</v>
      </c>
      <c r="M17" s="41"/>
      <c r="N17" s="41"/>
      <c r="O17" s="41"/>
      <c r="P17" s="41"/>
      <c r="Q17" s="38">
        <f aca="true" t="shared" si="2" ref="Q17:Q23">SUM(M17:P17)</f>
        <v>0</v>
      </c>
      <c r="R17" s="39">
        <f aca="true" t="shared" si="3" ref="R17:R23">G17+L17+Q17</f>
        <v>53645716</v>
      </c>
      <c r="S17" s="41"/>
      <c r="T17" s="41"/>
      <c r="U17" s="41"/>
      <c r="V17" s="41"/>
      <c r="W17" s="38">
        <f aca="true" t="shared" si="4" ref="W17:W23">SUM(S17:V17)</f>
        <v>0</v>
      </c>
      <c r="X17" s="41">
        <f>C17+H17+M17+S17</f>
        <v>11223140</v>
      </c>
      <c r="Y17" s="41">
        <f aca="true" t="shared" si="5" ref="Y17:AA23">D17+I17+N17+T17</f>
        <v>17898955.47</v>
      </c>
      <c r="Z17" s="41">
        <f t="shared" si="5"/>
        <v>0</v>
      </c>
      <c r="AA17" s="41">
        <f t="shared" si="5"/>
        <v>24523620.53</v>
      </c>
      <c r="AB17" s="38">
        <f aca="true" t="shared" si="6" ref="AB17:AB23">SUM(X17:AA17)</f>
        <v>53645716</v>
      </c>
      <c r="AC17" s="42"/>
    </row>
    <row r="18" spans="1:29" ht="15.75">
      <c r="A18" s="83" t="s">
        <v>26</v>
      </c>
      <c r="B18" s="44"/>
      <c r="C18" s="41"/>
      <c r="D18" s="41"/>
      <c r="E18" s="41"/>
      <c r="F18" s="41"/>
      <c r="G18" s="38">
        <f t="shared" si="0"/>
        <v>0</v>
      </c>
      <c r="H18" s="41"/>
      <c r="I18" s="88">
        <v>1121978.48</v>
      </c>
      <c r="J18" s="41"/>
      <c r="K18" s="41"/>
      <c r="L18" s="38">
        <f t="shared" si="1"/>
        <v>1121978.48</v>
      </c>
      <c r="M18" s="41"/>
      <c r="N18" s="41"/>
      <c r="O18" s="41"/>
      <c r="P18" s="41"/>
      <c r="Q18" s="38">
        <f t="shared" si="2"/>
        <v>0</v>
      </c>
      <c r="R18" s="39">
        <f t="shared" si="3"/>
        <v>1121978.48</v>
      </c>
      <c r="S18" s="41"/>
      <c r="T18" s="41"/>
      <c r="U18" s="41"/>
      <c r="V18" s="41"/>
      <c r="W18" s="38">
        <f t="shared" si="4"/>
        <v>0</v>
      </c>
      <c r="X18" s="41">
        <f aca="true" t="shared" si="7" ref="X18:X23">C18+H18+M18+S18</f>
        <v>0</v>
      </c>
      <c r="Y18" s="41">
        <f t="shared" si="5"/>
        <v>1121978.48</v>
      </c>
      <c r="Z18" s="41">
        <f t="shared" si="5"/>
        <v>0</v>
      </c>
      <c r="AA18" s="41">
        <f t="shared" si="5"/>
        <v>0</v>
      </c>
      <c r="AB18" s="38">
        <f t="shared" si="6"/>
        <v>1121978.48</v>
      </c>
      <c r="AC18" s="42"/>
    </row>
    <row r="19" spans="1:29" ht="15.75">
      <c r="A19" s="82" t="s">
        <v>27</v>
      </c>
      <c r="B19" s="44"/>
      <c r="C19" s="41"/>
      <c r="D19" s="41"/>
      <c r="E19" s="41"/>
      <c r="F19" s="41"/>
      <c r="G19" s="38">
        <f t="shared" si="0"/>
        <v>0</v>
      </c>
      <c r="H19" s="41"/>
      <c r="I19" s="41"/>
      <c r="J19" s="41"/>
      <c r="K19" s="41"/>
      <c r="L19" s="38">
        <f t="shared" si="1"/>
        <v>0</v>
      </c>
      <c r="M19" s="41"/>
      <c r="N19" s="41"/>
      <c r="O19" s="41"/>
      <c r="P19" s="41"/>
      <c r="Q19" s="38">
        <f t="shared" si="2"/>
        <v>0</v>
      </c>
      <c r="R19" s="39">
        <f t="shared" si="3"/>
        <v>0</v>
      </c>
      <c r="S19" s="41"/>
      <c r="T19" s="41"/>
      <c r="U19" s="41"/>
      <c r="V19" s="41"/>
      <c r="W19" s="38">
        <f t="shared" si="4"/>
        <v>0</v>
      </c>
      <c r="X19" s="41">
        <f t="shared" si="7"/>
        <v>0</v>
      </c>
      <c r="Y19" s="41">
        <f t="shared" si="5"/>
        <v>0</v>
      </c>
      <c r="Z19" s="41">
        <f t="shared" si="5"/>
        <v>0</v>
      </c>
      <c r="AA19" s="41">
        <f t="shared" si="5"/>
        <v>0</v>
      </c>
      <c r="AB19" s="38">
        <f t="shared" si="6"/>
        <v>0</v>
      </c>
      <c r="AC19" s="42"/>
    </row>
    <row r="20" spans="1:29" ht="15.75">
      <c r="A20" s="82" t="s">
        <v>28</v>
      </c>
      <c r="B20" s="84"/>
      <c r="C20" s="85">
        <v>648165.9</v>
      </c>
      <c r="D20" s="85">
        <v>26254.71</v>
      </c>
      <c r="E20" s="41"/>
      <c r="F20" s="41"/>
      <c r="G20" s="38">
        <f t="shared" si="0"/>
        <v>674420.61</v>
      </c>
      <c r="H20" s="41"/>
      <c r="I20" s="85">
        <v>1835255.25</v>
      </c>
      <c r="J20" s="41"/>
      <c r="K20" s="41"/>
      <c r="L20" s="38">
        <f t="shared" si="1"/>
        <v>1835255.25</v>
      </c>
      <c r="M20" s="86"/>
      <c r="N20" s="87"/>
      <c r="O20" s="41"/>
      <c r="P20" s="41"/>
      <c r="Q20" s="38">
        <f t="shared" si="2"/>
        <v>0</v>
      </c>
      <c r="R20" s="39">
        <f t="shared" si="3"/>
        <v>2509675.86</v>
      </c>
      <c r="S20" s="41"/>
      <c r="T20" s="41"/>
      <c r="U20" s="41"/>
      <c r="V20" s="41"/>
      <c r="W20" s="38">
        <f t="shared" si="4"/>
        <v>0</v>
      </c>
      <c r="X20" s="41">
        <f t="shared" si="7"/>
        <v>648165.9</v>
      </c>
      <c r="Y20" s="41">
        <f t="shared" si="5"/>
        <v>1861509.96</v>
      </c>
      <c r="Z20" s="41">
        <f t="shared" si="5"/>
        <v>0</v>
      </c>
      <c r="AA20" s="41">
        <f t="shared" si="5"/>
        <v>0</v>
      </c>
      <c r="AB20" s="38">
        <f t="shared" si="6"/>
        <v>2509675.86</v>
      </c>
      <c r="AC20" s="42"/>
    </row>
    <row r="21" spans="1:29" ht="15.75">
      <c r="A21" s="82" t="s">
        <v>29</v>
      </c>
      <c r="B21" s="84"/>
      <c r="C21" s="41"/>
      <c r="D21" s="41"/>
      <c r="E21" s="41"/>
      <c r="F21" s="41"/>
      <c r="G21" s="38">
        <f t="shared" si="0"/>
        <v>0</v>
      </c>
      <c r="H21" s="41"/>
      <c r="I21" s="41"/>
      <c r="J21" s="41"/>
      <c r="K21" s="41"/>
      <c r="L21" s="38">
        <f t="shared" si="1"/>
        <v>0</v>
      </c>
      <c r="M21" s="41"/>
      <c r="N21" s="41"/>
      <c r="O21" s="41"/>
      <c r="P21" s="41"/>
      <c r="Q21" s="38">
        <f t="shared" si="2"/>
        <v>0</v>
      </c>
      <c r="R21" s="39">
        <f t="shared" si="3"/>
        <v>0</v>
      </c>
      <c r="S21" s="41"/>
      <c r="T21" s="41"/>
      <c r="U21" s="41"/>
      <c r="V21" s="41"/>
      <c r="W21" s="38">
        <f t="shared" si="4"/>
        <v>0</v>
      </c>
      <c r="X21" s="41">
        <f t="shared" si="7"/>
        <v>0</v>
      </c>
      <c r="Y21" s="41">
        <f t="shared" si="5"/>
        <v>0</v>
      </c>
      <c r="Z21" s="41">
        <f t="shared" si="5"/>
        <v>0</v>
      </c>
      <c r="AA21" s="41">
        <f t="shared" si="5"/>
        <v>0</v>
      </c>
      <c r="AB21" s="38">
        <f t="shared" si="6"/>
        <v>0</v>
      </c>
      <c r="AC21" s="42"/>
    </row>
    <row r="22" spans="1:29" ht="15.75">
      <c r="A22" s="82" t="s">
        <v>30</v>
      </c>
      <c r="B22" s="84"/>
      <c r="C22" s="41"/>
      <c r="D22" s="41"/>
      <c r="E22" s="41"/>
      <c r="F22" s="41"/>
      <c r="G22" s="38">
        <f t="shared" si="0"/>
        <v>0</v>
      </c>
      <c r="H22" s="41"/>
      <c r="I22" s="41"/>
      <c r="J22" s="41"/>
      <c r="K22" s="41"/>
      <c r="L22" s="38">
        <f t="shared" si="1"/>
        <v>0</v>
      </c>
      <c r="M22" s="41"/>
      <c r="N22" s="41"/>
      <c r="O22" s="41"/>
      <c r="P22" s="41"/>
      <c r="Q22" s="38">
        <f t="shared" si="2"/>
        <v>0</v>
      </c>
      <c r="R22" s="39">
        <f t="shared" si="3"/>
        <v>0</v>
      </c>
      <c r="S22" s="41"/>
      <c r="T22" s="41"/>
      <c r="U22" s="41"/>
      <c r="V22" s="41"/>
      <c r="W22" s="38">
        <f t="shared" si="4"/>
        <v>0</v>
      </c>
      <c r="X22" s="41">
        <f t="shared" si="7"/>
        <v>0</v>
      </c>
      <c r="Y22" s="41">
        <f t="shared" si="5"/>
        <v>0</v>
      </c>
      <c r="Z22" s="41">
        <f t="shared" si="5"/>
        <v>0</v>
      </c>
      <c r="AA22" s="41">
        <f t="shared" si="5"/>
        <v>0</v>
      </c>
      <c r="AB22" s="38">
        <f t="shared" si="6"/>
        <v>0</v>
      </c>
      <c r="AC22" s="42"/>
    </row>
    <row r="23" spans="1:29" ht="15.75">
      <c r="A23" s="82" t="s">
        <v>31</v>
      </c>
      <c r="B23" s="84"/>
      <c r="C23" s="41"/>
      <c r="D23" s="41"/>
      <c r="E23" s="41"/>
      <c r="F23" s="41"/>
      <c r="G23" s="38">
        <f t="shared" si="0"/>
        <v>0</v>
      </c>
      <c r="H23" s="41"/>
      <c r="I23" s="41"/>
      <c r="J23" s="41"/>
      <c r="K23" s="41"/>
      <c r="L23" s="38">
        <f t="shared" si="1"/>
        <v>0</v>
      </c>
      <c r="M23" s="41"/>
      <c r="N23" s="41"/>
      <c r="O23" s="41"/>
      <c r="P23" s="41"/>
      <c r="Q23" s="38">
        <f t="shared" si="2"/>
        <v>0</v>
      </c>
      <c r="R23" s="39">
        <f t="shared" si="3"/>
        <v>0</v>
      </c>
      <c r="S23" s="41"/>
      <c r="T23" s="41"/>
      <c r="U23" s="41"/>
      <c r="V23" s="41"/>
      <c r="W23" s="38">
        <f t="shared" si="4"/>
        <v>0</v>
      </c>
      <c r="X23" s="41">
        <f t="shared" si="7"/>
        <v>0</v>
      </c>
      <c r="Y23" s="41">
        <f t="shared" si="5"/>
        <v>0</v>
      </c>
      <c r="Z23" s="41">
        <f t="shared" si="5"/>
        <v>0</v>
      </c>
      <c r="AA23" s="41">
        <f t="shared" si="5"/>
        <v>0</v>
      </c>
      <c r="AB23" s="38">
        <f t="shared" si="6"/>
        <v>0</v>
      </c>
      <c r="AC23" s="42"/>
    </row>
    <row r="24" spans="1:29" ht="16.5" thickBot="1">
      <c r="A24" s="47"/>
      <c r="B24" s="84" t="s">
        <v>32</v>
      </c>
      <c r="C24" s="48">
        <f>C16+C20+C21+C23+C19+C22</f>
        <v>6251949.16</v>
      </c>
      <c r="D24" s="48">
        <f>D16+D20+D21+D23+D19+D22</f>
        <v>1181233.73</v>
      </c>
      <c r="E24" s="48">
        <f>E16+E20+E21+E23+E19+E22</f>
        <v>0</v>
      </c>
      <c r="F24" s="48">
        <f>F16+F20+F21+F23+F19+F22</f>
        <v>0</v>
      </c>
      <c r="G24" s="48">
        <f>G16+G20+G21+G23+G19+G22</f>
        <v>7433182.89</v>
      </c>
      <c r="H24" s="48">
        <f>H16+H20+H21+H23+H19+H22</f>
        <v>5619356.74</v>
      </c>
      <c r="I24" s="48">
        <f>I16+I20+I21+I23+I19+I22</f>
        <v>19701210.18</v>
      </c>
      <c r="J24" s="48">
        <f>J16+J20+J21+J23+J19+J22</f>
        <v>0</v>
      </c>
      <c r="K24" s="48">
        <f>K16+K20+K21+K23+K19+K22</f>
        <v>24523620.53</v>
      </c>
      <c r="L24" s="48">
        <f>L16+L20+L21+L23+L19+L22</f>
        <v>49844187.45</v>
      </c>
      <c r="M24" s="48">
        <f>M16+M20+M21+M23+M19+M22</f>
        <v>0</v>
      </c>
      <c r="N24" s="48">
        <f>N16+N20+N21+N23+N19+N22</f>
        <v>0</v>
      </c>
      <c r="O24" s="48">
        <f>O16+O20+O21+O23+O19+O22</f>
        <v>0</v>
      </c>
      <c r="P24" s="48">
        <f>P16+P20+P21+P23+P19+P22</f>
        <v>0</v>
      </c>
      <c r="Q24" s="48">
        <f>Q16+Q20+Q21+Q23+Q19+Q22</f>
        <v>0</v>
      </c>
      <c r="R24" s="48">
        <f>R16+R20+R21+R23</f>
        <v>57277370.34</v>
      </c>
      <c r="S24" s="48">
        <f>S16+S20+S21+S23+S19+S22</f>
        <v>0</v>
      </c>
      <c r="T24" s="48">
        <f>T16+T20+T21+T23+T19+T22</f>
        <v>0</v>
      </c>
      <c r="U24" s="48">
        <f>U16+U20+U21+U23+U19+U22</f>
        <v>0</v>
      </c>
      <c r="V24" s="48">
        <f>V16+V20+V21+V23+V19+V22</f>
        <v>0</v>
      </c>
      <c r="W24" s="48">
        <f>W16+W20+W21+W23+W19+W22</f>
        <v>0</v>
      </c>
      <c r="X24" s="48">
        <f>X16+X20+X21+X23+X19+X22</f>
        <v>11871305.9</v>
      </c>
      <c r="Y24" s="48">
        <f>Y16+Y20+Y21+Y23+Y19+Y22</f>
        <v>20882443.91</v>
      </c>
      <c r="Z24" s="48">
        <f>Z16+Z20+Z21+Z23+Z19+Z22</f>
        <v>0</v>
      </c>
      <c r="AA24" s="48">
        <f>AA16+AA20+AA21+AA23+AA19+AA22</f>
        <v>24523620.53</v>
      </c>
      <c r="AB24" s="48">
        <f>AB16+AB20+AB21+AB23+AB19+AB22</f>
        <v>57277370.34</v>
      </c>
      <c r="AC24" s="42"/>
    </row>
    <row r="25" spans="1:29" ht="17.25" thickBot="1" thickTop="1">
      <c r="A25" s="47"/>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42"/>
    </row>
    <row r="26" spans="1:29" ht="15.75">
      <c r="A26" s="54"/>
      <c r="B26" s="55"/>
      <c r="C26" s="56"/>
      <c r="D26" s="56"/>
      <c r="E26" s="56"/>
      <c r="F26" s="56"/>
      <c r="G26" s="57"/>
      <c r="H26" s="56"/>
      <c r="I26" s="56"/>
      <c r="J26" s="56"/>
      <c r="K26" s="56"/>
      <c r="L26" s="57"/>
      <c r="M26" s="57"/>
      <c r="N26" s="57"/>
      <c r="O26" s="57"/>
      <c r="P26" s="57"/>
      <c r="Q26" s="57"/>
      <c r="R26" s="57"/>
      <c r="S26" s="58"/>
      <c r="T26" s="58"/>
      <c r="U26" s="58"/>
      <c r="V26" s="58"/>
      <c r="W26" s="58"/>
      <c r="X26" s="58"/>
      <c r="Y26" s="58"/>
      <c r="Z26" s="58"/>
      <c r="AA26" s="58"/>
      <c r="AB26" s="58"/>
      <c r="AC26" s="59"/>
    </row>
    <row r="27" spans="1:29" ht="15.75">
      <c r="A27" s="84" t="s">
        <v>33</v>
      </c>
      <c r="B27" s="60"/>
      <c r="C27" s="61"/>
      <c r="D27" s="61"/>
      <c r="E27" s="61"/>
      <c r="F27" s="61"/>
      <c r="G27" s="61"/>
      <c r="H27" s="62"/>
      <c r="I27" s="62"/>
      <c r="J27" s="62"/>
      <c r="K27" s="62"/>
      <c r="L27" s="63"/>
      <c r="M27" s="63"/>
      <c r="N27" s="63"/>
      <c r="O27" s="63"/>
      <c r="P27" s="63"/>
      <c r="Q27" s="63"/>
      <c r="R27" s="63"/>
      <c r="S27" s="64"/>
      <c r="T27" s="61"/>
      <c r="U27" s="61"/>
      <c r="V27" s="61"/>
      <c r="W27" s="61"/>
      <c r="X27" s="61"/>
      <c r="Y27" s="61"/>
      <c r="Z27" s="61"/>
      <c r="AA27" s="61"/>
      <c r="AB27" s="61"/>
      <c r="AC27" s="65"/>
    </row>
    <row r="28" spans="1:29" ht="26.25">
      <c r="A28" s="84"/>
      <c r="B28" s="60"/>
      <c r="C28" s="78" t="s">
        <v>62</v>
      </c>
      <c r="D28" s="78" t="s">
        <v>34</v>
      </c>
      <c r="E28" s="78" t="s">
        <v>35</v>
      </c>
      <c r="F28" s="79"/>
      <c r="G28" s="78" t="s">
        <v>36</v>
      </c>
      <c r="H28" s="62"/>
      <c r="I28" s="62"/>
      <c r="J28" s="62"/>
      <c r="K28" s="62"/>
      <c r="L28" s="78" t="s">
        <v>34</v>
      </c>
      <c r="M28" s="78"/>
      <c r="N28" s="78" t="s">
        <v>35</v>
      </c>
      <c r="O28" s="79"/>
      <c r="P28" s="78" t="s">
        <v>36</v>
      </c>
      <c r="AB28" s="61"/>
      <c r="AC28" s="65"/>
    </row>
    <row r="29" spans="1:29" ht="15.75">
      <c r="A29" s="66" t="s">
        <v>37</v>
      </c>
      <c r="B29" s="60"/>
      <c r="C29" s="62">
        <f>SUM(C30:C35)</f>
        <v>0</v>
      </c>
      <c r="D29" s="62">
        <f>SUM(D30:D35)</f>
        <v>0</v>
      </c>
      <c r="E29" s="62">
        <f>SUM(E30:E35)</f>
        <v>64437675.86</v>
      </c>
      <c r="F29" s="62"/>
      <c r="G29" s="62">
        <f>SUM(G30:G35)</f>
        <v>64437675.86</v>
      </c>
      <c r="H29" s="62"/>
      <c r="I29" s="254" t="s">
        <v>52</v>
      </c>
      <c r="J29" s="67" t="s">
        <v>38</v>
      </c>
      <c r="K29" s="62"/>
      <c r="L29" s="68">
        <f>+L33+L37+L41</f>
        <v>0</v>
      </c>
      <c r="M29" s="68"/>
      <c r="N29" s="68">
        <v>61928000</v>
      </c>
      <c r="O29" s="68"/>
      <c r="P29" s="68">
        <f>L29+N29</f>
        <v>61928000</v>
      </c>
      <c r="AB29" s="64"/>
      <c r="AC29" s="65"/>
    </row>
    <row r="30" spans="1:29" ht="15.75">
      <c r="A30" s="69"/>
      <c r="B30" s="66" t="s">
        <v>39</v>
      </c>
      <c r="C30" s="68"/>
      <c r="D30" s="68"/>
      <c r="E30" s="62">
        <v>61928000</v>
      </c>
      <c r="F30" s="62"/>
      <c r="G30" s="63">
        <f>C30+E30+D30</f>
        <v>61928000</v>
      </c>
      <c r="H30" s="62"/>
      <c r="I30" s="254"/>
      <c r="J30" s="64" t="s">
        <v>40</v>
      </c>
      <c r="K30" s="62"/>
      <c r="L30" s="70">
        <f>+L34+L38+L42</f>
        <v>0</v>
      </c>
      <c r="M30" s="70"/>
      <c r="N30" s="70">
        <f>+N34+N38+N42</f>
        <v>57277370.34</v>
      </c>
      <c r="O30" s="70"/>
      <c r="P30" s="71">
        <f>L30+N30</f>
        <v>57277370.34</v>
      </c>
      <c r="AB30" s="64"/>
      <c r="AC30" s="65"/>
    </row>
    <row r="31" spans="1:29" ht="16.5" thickBot="1">
      <c r="A31" s="69"/>
      <c r="B31" s="66" t="s">
        <v>67</v>
      </c>
      <c r="C31" s="62"/>
      <c r="D31" s="62"/>
      <c r="E31" s="62"/>
      <c r="F31" s="62"/>
      <c r="G31" s="63">
        <f aca="true" t="shared" si="8" ref="G31:G37">C31+E31+D31</f>
        <v>0</v>
      </c>
      <c r="H31" s="62"/>
      <c r="I31" s="254"/>
      <c r="J31" s="64" t="s">
        <v>41</v>
      </c>
      <c r="K31" s="62"/>
      <c r="L31" s="72">
        <f>L29-L30</f>
        <v>0</v>
      </c>
      <c r="M31" s="70"/>
      <c r="N31" s="72">
        <f>N29-N30</f>
        <v>4650629.659999996</v>
      </c>
      <c r="O31" s="70"/>
      <c r="P31" s="73">
        <f>P29-P30</f>
        <v>4650629.659999996</v>
      </c>
      <c r="AB31" s="64"/>
      <c r="AC31" s="65"/>
    </row>
    <row r="32" spans="1:29" ht="16.5" thickTop="1">
      <c r="A32" s="69"/>
      <c r="B32" s="66" t="s">
        <v>42</v>
      </c>
      <c r="C32" s="62"/>
      <c r="D32" s="62"/>
      <c r="E32" s="62">
        <f>+AB20</f>
        <v>2509675.86</v>
      </c>
      <c r="F32" s="62"/>
      <c r="G32" s="63">
        <f t="shared" si="8"/>
        <v>2509675.86</v>
      </c>
      <c r="H32" s="62"/>
      <c r="I32" s="76"/>
      <c r="J32" s="64"/>
      <c r="K32" s="62"/>
      <c r="L32" s="64"/>
      <c r="M32" s="64"/>
      <c r="N32" s="64"/>
      <c r="O32" s="64"/>
      <c r="P32" s="64"/>
      <c r="R32" s="77" t="s">
        <v>58</v>
      </c>
      <c r="X32" s="77" t="s">
        <v>60</v>
      </c>
      <c r="AB32" s="64"/>
      <c r="AC32" s="65"/>
    </row>
    <row r="33" spans="1:29" ht="15" customHeight="1">
      <c r="A33" s="69"/>
      <c r="B33" s="66" t="s">
        <v>43</v>
      </c>
      <c r="C33" s="62"/>
      <c r="D33" s="62"/>
      <c r="E33" s="62"/>
      <c r="F33" s="62"/>
      <c r="G33" s="63">
        <f t="shared" si="8"/>
        <v>0</v>
      </c>
      <c r="H33" s="62"/>
      <c r="I33" s="254" t="s">
        <v>53</v>
      </c>
      <c r="J33" s="67" t="s">
        <v>38</v>
      </c>
      <c r="K33" s="62"/>
      <c r="L33" s="68"/>
      <c r="M33" s="68"/>
      <c r="N33" s="68">
        <v>61928000</v>
      </c>
      <c r="O33" s="68"/>
      <c r="P33" s="68">
        <f>L33+N33</f>
        <v>61928000</v>
      </c>
      <c r="AB33" s="64"/>
      <c r="AC33" s="65"/>
    </row>
    <row r="34" spans="1:29" ht="15.75">
      <c r="A34" s="69"/>
      <c r="B34" s="66" t="s">
        <v>44</v>
      </c>
      <c r="C34" s="62"/>
      <c r="D34" s="62"/>
      <c r="E34" s="62"/>
      <c r="F34" s="62"/>
      <c r="G34" s="63">
        <f t="shared" si="8"/>
        <v>0</v>
      </c>
      <c r="H34" s="62"/>
      <c r="I34" s="254"/>
      <c r="J34" s="64" t="s">
        <v>40</v>
      </c>
      <c r="K34" s="62"/>
      <c r="L34" s="70"/>
      <c r="M34" s="70"/>
      <c r="N34" s="70">
        <f>+G24</f>
        <v>7433182.89</v>
      </c>
      <c r="O34" s="70"/>
      <c r="P34" s="71">
        <f>L34+N34</f>
        <v>7433182.89</v>
      </c>
      <c r="AB34" s="64"/>
      <c r="AC34" s="65"/>
    </row>
    <row r="35" spans="1:29" ht="16.5" thickBot="1">
      <c r="A35" s="69"/>
      <c r="B35" s="66" t="s">
        <v>45</v>
      </c>
      <c r="C35" s="62"/>
      <c r="D35" s="62"/>
      <c r="E35" s="62"/>
      <c r="F35" s="62"/>
      <c r="G35" s="63">
        <f t="shared" si="8"/>
        <v>0</v>
      </c>
      <c r="H35" s="62"/>
      <c r="I35" s="254"/>
      <c r="J35" s="64" t="s">
        <v>41</v>
      </c>
      <c r="K35" s="62"/>
      <c r="L35" s="72">
        <f>L33-L34</f>
        <v>0</v>
      </c>
      <c r="M35" s="70"/>
      <c r="N35" s="72">
        <f>N33-N34</f>
        <v>54494817.11</v>
      </c>
      <c r="O35" s="70"/>
      <c r="P35" s="73">
        <f>P33-P34</f>
        <v>54494817.11</v>
      </c>
      <c r="AB35" s="64"/>
      <c r="AC35" s="65"/>
    </row>
    <row r="36" spans="1:29" ht="16.5" thickTop="1">
      <c r="A36" s="74" t="s">
        <v>46</v>
      </c>
      <c r="B36" s="66"/>
      <c r="C36" s="62"/>
      <c r="D36" s="62"/>
      <c r="E36" s="62"/>
      <c r="F36" s="62"/>
      <c r="G36" s="63">
        <f t="shared" si="8"/>
        <v>0</v>
      </c>
      <c r="H36" s="62"/>
      <c r="I36" s="76"/>
      <c r="J36" s="64"/>
      <c r="K36" s="62"/>
      <c r="L36" s="64"/>
      <c r="M36" s="64"/>
      <c r="N36" s="64"/>
      <c r="O36" s="64"/>
      <c r="P36" s="64"/>
      <c r="R36" s="77" t="s">
        <v>81</v>
      </c>
      <c r="X36" s="95" t="s">
        <v>82</v>
      </c>
      <c r="Y36" s="95"/>
      <c r="AB36" s="64"/>
      <c r="AC36" s="65"/>
    </row>
    <row r="37" spans="1:29" ht="15" customHeight="1">
      <c r="A37" s="74" t="s">
        <v>47</v>
      </c>
      <c r="B37" s="66"/>
      <c r="C37" s="62"/>
      <c r="D37" s="62"/>
      <c r="E37" s="62"/>
      <c r="F37" s="62"/>
      <c r="G37" s="63">
        <f t="shared" si="8"/>
        <v>0</v>
      </c>
      <c r="H37" s="62"/>
      <c r="I37" s="254" t="s">
        <v>54</v>
      </c>
      <c r="J37" s="67" t="s">
        <v>38</v>
      </c>
      <c r="K37" s="62"/>
      <c r="L37" s="68"/>
      <c r="M37" s="68"/>
      <c r="N37" s="68"/>
      <c r="O37" s="68"/>
      <c r="P37" s="68">
        <f>L37+N37</f>
        <v>0</v>
      </c>
      <c r="R37" s="329" t="s">
        <v>59</v>
      </c>
      <c r="S37" s="329"/>
      <c r="X37" s="329" t="s">
        <v>61</v>
      </c>
      <c r="Y37" s="329"/>
      <c r="AB37" s="64"/>
      <c r="AC37" s="65"/>
    </row>
    <row r="38" spans="2:29" ht="15.75">
      <c r="B38" s="74" t="s">
        <v>65</v>
      </c>
      <c r="C38" s="62"/>
      <c r="D38" s="62"/>
      <c r="E38" s="62"/>
      <c r="F38" s="62"/>
      <c r="G38" s="63">
        <f>C38+E38+D38</f>
        <v>0</v>
      </c>
      <c r="H38" s="62"/>
      <c r="I38" s="254"/>
      <c r="J38" s="64" t="s">
        <v>40</v>
      </c>
      <c r="K38" s="62"/>
      <c r="L38" s="70"/>
      <c r="M38" s="70"/>
      <c r="N38" s="70">
        <f>+Q24</f>
        <v>0</v>
      </c>
      <c r="O38" s="70"/>
      <c r="P38" s="71">
        <f>L38+N38</f>
        <v>0</v>
      </c>
      <c r="AB38" s="64"/>
      <c r="AC38" s="65"/>
    </row>
    <row r="39" spans="2:29" ht="16.5" thickBot="1">
      <c r="B39" s="74" t="s">
        <v>66</v>
      </c>
      <c r="C39" s="62"/>
      <c r="D39" s="62"/>
      <c r="E39" s="62"/>
      <c r="F39" s="62"/>
      <c r="G39" s="63">
        <f>C39+E39+D39</f>
        <v>0</v>
      </c>
      <c r="H39" s="62"/>
      <c r="I39" s="254"/>
      <c r="J39" s="64" t="s">
        <v>41</v>
      </c>
      <c r="K39" s="62"/>
      <c r="L39" s="72">
        <f>L37-L38</f>
        <v>0</v>
      </c>
      <c r="M39" s="70"/>
      <c r="N39" s="72">
        <f>N37-N38</f>
        <v>0</v>
      </c>
      <c r="O39" s="70"/>
      <c r="P39" s="73">
        <f>P37-P38</f>
        <v>0</v>
      </c>
      <c r="AB39" s="64"/>
      <c r="AC39" s="65"/>
    </row>
    <row r="40" spans="1:29" ht="16.5" thickTop="1">
      <c r="A40" s="66" t="s">
        <v>48</v>
      </c>
      <c r="B40" s="66"/>
      <c r="C40" s="62">
        <f>C29-C36+C37-C38+C39</f>
        <v>0</v>
      </c>
      <c r="D40" s="62">
        <f>D29-D36+D37-D38+D39</f>
        <v>0</v>
      </c>
      <c r="E40" s="62">
        <f>E29-E36+E37-E38+E39</f>
        <v>64437675.86</v>
      </c>
      <c r="F40" s="62"/>
      <c r="G40" s="62">
        <f>G29-G36+G37-G38+G39</f>
        <v>64437675.86</v>
      </c>
      <c r="H40" s="62"/>
      <c r="I40" s="76"/>
      <c r="J40" s="64"/>
      <c r="K40" s="62"/>
      <c r="L40" s="64"/>
      <c r="M40" s="64"/>
      <c r="N40" s="64"/>
      <c r="O40" s="64"/>
      <c r="P40" s="64"/>
      <c r="AB40" s="64"/>
      <c r="AC40" s="65"/>
    </row>
    <row r="41" spans="1:29" ht="15" customHeight="1">
      <c r="A41" s="74" t="s">
        <v>51</v>
      </c>
      <c r="B41" s="66"/>
      <c r="C41" s="62"/>
      <c r="D41" s="62"/>
      <c r="E41" s="62"/>
      <c r="F41" s="62"/>
      <c r="G41" s="63">
        <f>C41+E41+D41</f>
        <v>0</v>
      </c>
      <c r="H41" s="62"/>
      <c r="I41" s="254" t="s">
        <v>55</v>
      </c>
      <c r="J41" s="67" t="s">
        <v>38</v>
      </c>
      <c r="K41" s="62"/>
      <c r="L41" s="68"/>
      <c r="M41" s="68"/>
      <c r="N41" s="68">
        <v>0</v>
      </c>
      <c r="O41" s="68"/>
      <c r="P41" s="68">
        <f>L41+N41</f>
        <v>0</v>
      </c>
      <c r="AB41" s="64"/>
      <c r="AC41" s="65"/>
    </row>
    <row r="42" spans="1:29" ht="15.75">
      <c r="A42" s="69"/>
      <c r="B42" s="66" t="s">
        <v>49</v>
      </c>
      <c r="C42" s="62"/>
      <c r="D42" s="62"/>
      <c r="E42" s="62">
        <f>AB24</f>
        <v>57277370.34</v>
      </c>
      <c r="F42" s="62"/>
      <c r="G42" s="63">
        <f>C42+E42+D42</f>
        <v>57277370.34</v>
      </c>
      <c r="H42" s="25"/>
      <c r="I42" s="254"/>
      <c r="J42" s="64" t="s">
        <v>40</v>
      </c>
      <c r="K42" s="25"/>
      <c r="L42" s="70"/>
      <c r="M42" s="70"/>
      <c r="N42" s="70">
        <f>+L24</f>
        <v>49844187.45</v>
      </c>
      <c r="O42" s="70"/>
      <c r="P42" s="71">
        <f>L42+N42</f>
        <v>49844187.45</v>
      </c>
      <c r="AB42" s="27"/>
      <c r="AC42" s="28"/>
    </row>
    <row r="43" spans="1:29" ht="16.5" thickBot="1">
      <c r="A43" s="74" t="s">
        <v>50</v>
      </c>
      <c r="B43" s="49"/>
      <c r="C43" s="75">
        <f>C40-C41-C42</f>
        <v>0</v>
      </c>
      <c r="D43" s="75">
        <f>D40-D41-D42</f>
        <v>0</v>
      </c>
      <c r="E43" s="75">
        <f>E40-E41-E42</f>
        <v>7160305.519999996</v>
      </c>
      <c r="F43" s="62"/>
      <c r="G43" s="75">
        <f>G40-G41-G42</f>
        <v>7160305.519999996</v>
      </c>
      <c r="H43" s="25"/>
      <c r="I43" s="254"/>
      <c r="J43" s="64" t="s">
        <v>41</v>
      </c>
      <c r="K43" s="25"/>
      <c r="L43" s="72">
        <f>L41-L42</f>
        <v>0</v>
      </c>
      <c r="M43" s="70"/>
      <c r="N43" s="72">
        <f>N41-N42</f>
        <v>-49844187.45</v>
      </c>
      <c r="O43" s="70"/>
      <c r="P43" s="73">
        <f>P41-P42</f>
        <v>-49844187.45</v>
      </c>
      <c r="AB43" s="27"/>
      <c r="AC43" s="28"/>
    </row>
    <row r="44" spans="1:7" ht="16.5" thickTop="1">
      <c r="A44" s="29"/>
      <c r="B44" s="30"/>
      <c r="C44" s="25"/>
      <c r="D44" s="25"/>
      <c r="E44" s="25"/>
      <c r="F44" s="25"/>
      <c r="G44" s="26"/>
    </row>
    <row r="45" spans="1:7" ht="15.75">
      <c r="A45" s="29"/>
      <c r="B45" s="24" t="s">
        <v>64</v>
      </c>
      <c r="C45" s="25"/>
      <c r="D45" s="25"/>
      <c r="E45" s="25"/>
      <c r="F45" s="25"/>
      <c r="G45" s="26"/>
    </row>
    <row r="46" ht="15.75">
      <c r="B46" s="80" t="s">
        <v>69</v>
      </c>
    </row>
    <row r="47" ht="15.75">
      <c r="B47" s="81" t="s">
        <v>75</v>
      </c>
    </row>
    <row r="48" ht="15.75">
      <c r="B48" s="81" t="s">
        <v>74</v>
      </c>
    </row>
    <row r="49" ht="15.75">
      <c r="B49" s="81" t="s">
        <v>76</v>
      </c>
    </row>
    <row r="50" ht="15.75">
      <c r="B50" s="81" t="s">
        <v>72</v>
      </c>
    </row>
    <row r="51" ht="15.75">
      <c r="B51" s="81" t="s">
        <v>73</v>
      </c>
    </row>
    <row r="52" ht="15.75">
      <c r="B52" s="81" t="s">
        <v>77</v>
      </c>
    </row>
    <row r="53" ht="15.75">
      <c r="B53" s="80"/>
    </row>
  </sheetData>
  <sheetProtection/>
  <mergeCells count="27">
    <mergeCell ref="X37:Y37"/>
    <mergeCell ref="S14:W14"/>
    <mergeCell ref="X14:AB14"/>
    <mergeCell ref="A15:B15"/>
    <mergeCell ref="A16:B16"/>
    <mergeCell ref="A17:B17"/>
    <mergeCell ref="A14:B14"/>
    <mergeCell ref="C14:G14"/>
    <mergeCell ref="H14:L14"/>
    <mergeCell ref="M14:Q14"/>
    <mergeCell ref="I41:I43"/>
    <mergeCell ref="I29:I31"/>
    <mergeCell ref="I33:I35"/>
    <mergeCell ref="I37:I39"/>
    <mergeCell ref="R37:S37"/>
    <mergeCell ref="A1:AC1"/>
    <mergeCell ref="A2:AC2"/>
    <mergeCell ref="A3:AC3"/>
    <mergeCell ref="A11:B13"/>
    <mergeCell ref="C11:G12"/>
    <mergeCell ref="H11:Q11"/>
    <mergeCell ref="R11:R13"/>
    <mergeCell ref="S11:W12"/>
    <mergeCell ref="X11:AB12"/>
    <mergeCell ref="AC11:AC13"/>
    <mergeCell ref="H12:L12"/>
    <mergeCell ref="M12:Q12"/>
  </mergeCells>
  <printOptions horizontalCentered="1"/>
  <pageMargins left="0.159448818897638" right="0.159448818897638" top="0.21259842519685" bottom="0.21259842519685" header="0.5" footer="0.5"/>
  <pageSetup orientation="landscape" paperSize="3" scale="65" r:id="rId1"/>
</worksheet>
</file>

<file path=xl/worksheets/sheet16.xml><?xml version="1.0" encoding="utf-8"?>
<worksheet xmlns="http://schemas.openxmlformats.org/spreadsheetml/2006/main" xmlns:r="http://schemas.openxmlformats.org/officeDocument/2006/relationships">
  <dimension ref="A1:AE54"/>
  <sheetViews>
    <sheetView zoomScalePageLayoutView="0" workbookViewId="0" topLeftCell="A28">
      <selection activeCell="C53" sqref="C53"/>
    </sheetView>
  </sheetViews>
  <sheetFormatPr defaultColWidth="11.00390625" defaultRowHeight="15.75"/>
  <cols>
    <col min="1" max="1" width="10.875" style="1" customWidth="1"/>
    <col min="2" max="2" width="3.50390625" style="1" customWidth="1"/>
    <col min="3" max="3" width="34.375" style="1" customWidth="1"/>
    <col min="4" max="8" width="8.50390625" style="6" customWidth="1"/>
    <col min="9" max="9" width="10.375" style="6" customWidth="1"/>
    <col min="10" max="10" width="10.875" style="6" customWidth="1"/>
    <col min="11" max="11" width="10.375" style="6" customWidth="1"/>
    <col min="12" max="12" width="11.375" style="6" customWidth="1"/>
    <col min="13" max="13" width="10.375" style="6" customWidth="1"/>
    <col min="14" max="17" width="8.50390625" style="6" customWidth="1"/>
    <col min="18" max="19" width="13.375" style="6" customWidth="1"/>
    <col min="20" max="23" width="8.375" style="6" customWidth="1"/>
    <col min="24" max="24" width="14.50390625" style="6" customWidth="1"/>
    <col min="25" max="29" width="10.875" style="6" customWidth="1"/>
    <col min="30" max="30" width="0.5" style="1" customWidth="1"/>
  </cols>
  <sheetData>
    <row r="1" spans="2:30" ht="15.75">
      <c r="B1" s="301" t="s">
        <v>68</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row>
    <row r="2" spans="2:30" ht="15.75">
      <c r="B2" s="301" t="s">
        <v>70</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row>
    <row r="3" spans="2:30" ht="15.75">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row>
    <row r="4" spans="2:24" ht="15.75">
      <c r="B4" s="2"/>
      <c r="C4" s="2"/>
      <c r="D4" s="3"/>
      <c r="E4" s="3"/>
      <c r="F4" s="3"/>
      <c r="G4" s="3"/>
      <c r="H4" s="3"/>
      <c r="I4" s="4"/>
      <c r="J4" s="4"/>
      <c r="K4" s="4"/>
      <c r="L4" s="5"/>
      <c r="M4" s="5"/>
      <c r="N4" s="5"/>
      <c r="O4" s="5"/>
      <c r="P4" s="5"/>
      <c r="Q4" s="5"/>
      <c r="R4" s="5"/>
      <c r="S4" s="5"/>
      <c r="T4" s="5"/>
      <c r="U4" s="4"/>
      <c r="V4" s="4"/>
      <c r="W4" s="4"/>
      <c r="X4" s="4"/>
    </row>
    <row r="5" spans="1:30" ht="15.75">
      <c r="A5" s="7"/>
      <c r="B5" s="8" t="s">
        <v>0</v>
      </c>
      <c r="C5" s="9"/>
      <c r="D5" s="10"/>
      <c r="E5" s="10"/>
      <c r="F5" s="10"/>
      <c r="G5" s="10"/>
      <c r="H5" s="10"/>
      <c r="I5" s="10"/>
      <c r="J5" s="10"/>
      <c r="K5" s="10"/>
      <c r="L5" s="11"/>
      <c r="M5" s="11"/>
      <c r="N5" s="11"/>
      <c r="O5" s="11"/>
      <c r="P5" s="11"/>
      <c r="Q5" s="11"/>
      <c r="R5" s="11"/>
      <c r="S5" s="11"/>
      <c r="T5" s="11"/>
      <c r="U5" s="10"/>
      <c r="V5" s="10"/>
      <c r="W5" s="10"/>
      <c r="X5" s="10"/>
      <c r="Y5" s="10"/>
      <c r="Z5" s="10"/>
      <c r="AA5" s="10"/>
      <c r="AB5" s="10"/>
      <c r="AC5" s="10"/>
      <c r="AD5"/>
    </row>
    <row r="6" spans="1:30" ht="15.75">
      <c r="A6" s="7"/>
      <c r="B6" s="8" t="s">
        <v>1</v>
      </c>
      <c r="C6" s="9"/>
      <c r="D6" s="10"/>
      <c r="E6" s="10"/>
      <c r="F6" s="10"/>
      <c r="G6" s="10"/>
      <c r="H6" s="10"/>
      <c r="I6" s="10"/>
      <c r="J6" s="10"/>
      <c r="K6" s="10"/>
      <c r="L6" s="10"/>
      <c r="M6" s="10"/>
      <c r="N6" s="10"/>
      <c r="O6" s="10"/>
      <c r="P6" s="10"/>
      <c r="Q6" s="10"/>
      <c r="R6" s="10"/>
      <c r="S6" s="10"/>
      <c r="T6" s="10"/>
      <c r="U6" s="10"/>
      <c r="V6" s="10"/>
      <c r="W6" s="10"/>
      <c r="X6" s="10"/>
      <c r="Y6" s="10"/>
      <c r="Z6" s="10"/>
      <c r="AA6" s="10"/>
      <c r="AB6" s="10"/>
      <c r="AC6" s="10"/>
      <c r="AD6"/>
    </row>
    <row r="7" spans="1:30" ht="15.75">
      <c r="A7" s="7"/>
      <c r="B7" s="8" t="s">
        <v>2</v>
      </c>
      <c r="C7" s="9"/>
      <c r="D7" s="10"/>
      <c r="E7" s="10"/>
      <c r="F7" s="10"/>
      <c r="G7" s="10"/>
      <c r="H7" s="10"/>
      <c r="I7" s="10"/>
      <c r="J7" s="10"/>
      <c r="K7" s="10"/>
      <c r="L7" s="10"/>
      <c r="M7" s="10"/>
      <c r="N7" s="10"/>
      <c r="O7" s="10"/>
      <c r="P7" s="10"/>
      <c r="Q7" s="10"/>
      <c r="R7" s="10"/>
      <c r="S7" s="10"/>
      <c r="T7" s="10"/>
      <c r="U7" s="10"/>
      <c r="V7" s="10"/>
      <c r="W7" s="10"/>
      <c r="X7" s="10"/>
      <c r="Y7" s="10"/>
      <c r="Z7" s="10"/>
      <c r="AA7" s="10"/>
      <c r="AB7" s="10"/>
      <c r="AC7" s="10"/>
      <c r="AD7"/>
    </row>
    <row r="8" spans="1:30" ht="15.75">
      <c r="A8" s="7"/>
      <c r="B8" s="8" t="s">
        <v>3</v>
      </c>
      <c r="C8" s="9"/>
      <c r="D8" s="10"/>
      <c r="E8" s="10"/>
      <c r="F8" s="10"/>
      <c r="G8" s="10"/>
      <c r="H8" s="10"/>
      <c r="I8" s="10"/>
      <c r="J8" s="10"/>
      <c r="K8" s="10"/>
      <c r="L8" s="10"/>
      <c r="M8" s="10"/>
      <c r="N8" s="10"/>
      <c r="O8" s="10"/>
      <c r="P8" s="10"/>
      <c r="Q8" s="10"/>
      <c r="R8" s="10"/>
      <c r="S8" s="10"/>
      <c r="T8" s="10"/>
      <c r="U8" s="10"/>
      <c r="V8" s="10"/>
      <c r="W8" s="10"/>
      <c r="X8" s="10"/>
      <c r="Y8" s="10"/>
      <c r="Z8" s="10"/>
      <c r="AA8" s="10"/>
      <c r="AB8" s="10"/>
      <c r="AC8" s="10"/>
      <c r="AD8"/>
    </row>
    <row r="9" spans="1:30" ht="15.75">
      <c r="A9" s="7"/>
      <c r="B9" s="8" t="s">
        <v>71</v>
      </c>
      <c r="C9" s="9"/>
      <c r="D9"/>
      <c r="E9"/>
      <c r="F9"/>
      <c r="G9"/>
      <c r="H9"/>
      <c r="I9"/>
      <c r="J9"/>
      <c r="K9"/>
      <c r="L9"/>
      <c r="M9"/>
      <c r="N9"/>
      <c r="O9"/>
      <c r="P9"/>
      <c r="Q9"/>
      <c r="R9"/>
      <c r="S9"/>
      <c r="T9"/>
      <c r="U9"/>
      <c r="V9"/>
      <c r="W9"/>
      <c r="X9"/>
      <c r="Y9"/>
      <c r="Z9"/>
      <c r="AA9"/>
      <c r="AB9"/>
      <c r="AC9"/>
      <c r="AD9"/>
    </row>
    <row r="10" spans="1:30" ht="16.5" thickBot="1">
      <c r="A10" s="7"/>
      <c r="B10" s="8"/>
      <c r="C10" s="9"/>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row>
    <row r="11" spans="1:30" ht="15.75">
      <c r="A11" s="12"/>
      <c r="B11" s="302" t="s">
        <v>4</v>
      </c>
      <c r="C11" s="303"/>
      <c r="D11" s="308" t="s">
        <v>5</v>
      </c>
      <c r="E11" s="309"/>
      <c r="F11" s="309"/>
      <c r="G11" s="309"/>
      <c r="H11" s="310"/>
      <c r="I11" s="314" t="s">
        <v>6</v>
      </c>
      <c r="J11" s="315"/>
      <c r="K11" s="315"/>
      <c r="L11" s="315"/>
      <c r="M11" s="315"/>
      <c r="N11" s="315"/>
      <c r="O11" s="315"/>
      <c r="P11" s="315"/>
      <c r="Q11" s="315"/>
      <c r="R11" s="316"/>
      <c r="S11" s="317" t="s">
        <v>7</v>
      </c>
      <c r="T11" s="308" t="s">
        <v>8</v>
      </c>
      <c r="U11" s="309"/>
      <c r="V11" s="309"/>
      <c r="W11" s="309"/>
      <c r="X11" s="309"/>
      <c r="Y11" s="308" t="s">
        <v>9</v>
      </c>
      <c r="Z11" s="309"/>
      <c r="AA11" s="309"/>
      <c r="AB11" s="309"/>
      <c r="AC11" s="310"/>
      <c r="AD11" s="323" t="s">
        <v>10</v>
      </c>
    </row>
    <row r="12" spans="1:30" ht="15.75">
      <c r="A12" s="12"/>
      <c r="B12" s="304"/>
      <c r="C12" s="305"/>
      <c r="D12" s="311"/>
      <c r="E12" s="312"/>
      <c r="F12" s="312"/>
      <c r="G12" s="312"/>
      <c r="H12" s="313"/>
      <c r="I12" s="325" t="s">
        <v>57</v>
      </c>
      <c r="J12" s="326"/>
      <c r="K12" s="326"/>
      <c r="L12" s="326"/>
      <c r="M12" s="327"/>
      <c r="N12" s="325" t="s">
        <v>56</v>
      </c>
      <c r="O12" s="326"/>
      <c r="P12" s="326"/>
      <c r="Q12" s="326"/>
      <c r="R12" s="327"/>
      <c r="S12" s="318"/>
      <c r="T12" s="320"/>
      <c r="U12" s="321"/>
      <c r="V12" s="321"/>
      <c r="W12" s="321"/>
      <c r="X12" s="321"/>
      <c r="Y12" s="320"/>
      <c r="Z12" s="321"/>
      <c r="AA12" s="321"/>
      <c r="AB12" s="321"/>
      <c r="AC12" s="322"/>
      <c r="AD12" s="324"/>
    </row>
    <row r="13" spans="1:30" ht="16.5" thickBot="1">
      <c r="A13" s="12"/>
      <c r="B13" s="306"/>
      <c r="C13" s="307"/>
      <c r="D13" s="13" t="s">
        <v>11</v>
      </c>
      <c r="E13" s="14" t="s">
        <v>12</v>
      </c>
      <c r="F13" s="14" t="s">
        <v>13</v>
      </c>
      <c r="G13" s="14" t="s">
        <v>14</v>
      </c>
      <c r="H13" s="15" t="s">
        <v>15</v>
      </c>
      <c r="I13" s="16" t="s">
        <v>11</v>
      </c>
      <c r="J13" s="17" t="s">
        <v>12</v>
      </c>
      <c r="K13" s="18" t="s">
        <v>13</v>
      </c>
      <c r="L13" s="17" t="s">
        <v>14</v>
      </c>
      <c r="M13" s="19" t="s">
        <v>15</v>
      </c>
      <c r="N13" s="16" t="s">
        <v>11</v>
      </c>
      <c r="O13" s="17" t="s">
        <v>12</v>
      </c>
      <c r="P13" s="18" t="s">
        <v>13</v>
      </c>
      <c r="Q13" s="17" t="s">
        <v>14</v>
      </c>
      <c r="R13" s="19" t="s">
        <v>15</v>
      </c>
      <c r="S13" s="319"/>
      <c r="T13" s="16" t="s">
        <v>11</v>
      </c>
      <c r="U13" s="17" t="s">
        <v>12</v>
      </c>
      <c r="V13" s="17" t="s">
        <v>13</v>
      </c>
      <c r="W13" s="17" t="s">
        <v>14</v>
      </c>
      <c r="X13" s="20" t="s">
        <v>15</v>
      </c>
      <c r="Y13" s="21" t="s">
        <v>11</v>
      </c>
      <c r="Z13" s="18" t="s">
        <v>12</v>
      </c>
      <c r="AA13" s="18" t="s">
        <v>13</v>
      </c>
      <c r="AB13" s="18" t="s">
        <v>14</v>
      </c>
      <c r="AC13" s="22" t="s">
        <v>15</v>
      </c>
      <c r="AD13" s="324"/>
    </row>
    <row r="14" spans="1:31" ht="16.5" thickBot="1">
      <c r="A14" s="23"/>
      <c r="B14" s="260" t="s">
        <v>16</v>
      </c>
      <c r="C14" s="261"/>
      <c r="D14" s="255" t="s">
        <v>17</v>
      </c>
      <c r="E14" s="256"/>
      <c r="F14" s="256"/>
      <c r="G14" s="256"/>
      <c r="H14" s="262"/>
      <c r="I14" s="269" t="s">
        <v>18</v>
      </c>
      <c r="J14" s="256"/>
      <c r="K14" s="256"/>
      <c r="L14" s="256"/>
      <c r="M14" s="262"/>
      <c r="N14" s="269" t="s">
        <v>19</v>
      </c>
      <c r="O14" s="256"/>
      <c r="P14" s="256"/>
      <c r="Q14" s="256"/>
      <c r="R14" s="262"/>
      <c r="S14" s="31" t="s">
        <v>20</v>
      </c>
      <c r="T14" s="269" t="s">
        <v>21</v>
      </c>
      <c r="U14" s="256"/>
      <c r="V14" s="256"/>
      <c r="W14" s="256"/>
      <c r="X14" s="257"/>
      <c r="Y14" s="255" t="s">
        <v>22</v>
      </c>
      <c r="Z14" s="256"/>
      <c r="AA14" s="256"/>
      <c r="AB14" s="256"/>
      <c r="AC14" s="257"/>
      <c r="AD14" s="32" t="s">
        <v>23</v>
      </c>
      <c r="AE14" t="s">
        <v>63</v>
      </c>
    </row>
    <row r="15" spans="1:30" ht="15.75">
      <c r="A15" s="23"/>
      <c r="B15" s="248"/>
      <c r="C15" s="249"/>
      <c r="D15" s="33"/>
      <c r="E15" s="33"/>
      <c r="F15" s="33"/>
      <c r="G15" s="33"/>
      <c r="H15" s="33"/>
      <c r="I15" s="34"/>
      <c r="J15" s="33"/>
      <c r="K15" s="33"/>
      <c r="L15" s="33"/>
      <c r="M15" s="33"/>
      <c r="N15" s="34"/>
      <c r="O15" s="33"/>
      <c r="P15" s="33"/>
      <c r="Q15" s="33"/>
      <c r="R15" s="33"/>
      <c r="S15" s="34"/>
      <c r="T15" s="34"/>
      <c r="U15" s="33"/>
      <c r="V15" s="33"/>
      <c r="W15" s="33"/>
      <c r="X15" s="33"/>
      <c r="Y15" s="34"/>
      <c r="Z15" s="33"/>
      <c r="AA15" s="33"/>
      <c r="AB15" s="33"/>
      <c r="AC15" s="35"/>
      <c r="AD15" s="36"/>
    </row>
    <row r="16" spans="1:30" ht="15.75">
      <c r="A16" s="12"/>
      <c r="B16" s="250" t="s">
        <v>24</v>
      </c>
      <c r="C16" s="299"/>
      <c r="D16" s="37">
        <f>D17+D18</f>
        <v>0</v>
      </c>
      <c r="E16" s="37">
        <f>E17+E18</f>
        <v>0</v>
      </c>
      <c r="F16" s="37">
        <f>F17+F18</f>
        <v>0</v>
      </c>
      <c r="G16" s="37">
        <f>G17+G18</f>
        <v>0</v>
      </c>
      <c r="H16" s="38">
        <f>SUM(D16:G16)</f>
        <v>0</v>
      </c>
      <c r="I16" s="37">
        <f>I17+I18</f>
        <v>0</v>
      </c>
      <c r="J16" s="37">
        <f>J17+J18</f>
        <v>0</v>
      </c>
      <c r="K16" s="37">
        <f>K17+K18</f>
        <v>0</v>
      </c>
      <c r="L16" s="37">
        <f>L17+L18</f>
        <v>0</v>
      </c>
      <c r="M16" s="38">
        <f>SUM(I16:L16)</f>
        <v>0</v>
      </c>
      <c r="N16" s="37">
        <f>N17+N18</f>
        <v>0</v>
      </c>
      <c r="O16" s="37">
        <f>O17+O18</f>
        <v>0</v>
      </c>
      <c r="P16" s="37">
        <f>P17+P18</f>
        <v>0</v>
      </c>
      <c r="Q16" s="37">
        <f>Q17+Q18</f>
        <v>0</v>
      </c>
      <c r="R16" s="38">
        <f>SUM(N16:Q16)</f>
        <v>0</v>
      </c>
      <c r="S16" s="39">
        <f>H16+M16+R16</f>
        <v>0</v>
      </c>
      <c r="T16" s="37">
        <f>T17+T18</f>
        <v>0</v>
      </c>
      <c r="U16" s="37">
        <f>U17+U18</f>
        <v>0</v>
      </c>
      <c r="V16" s="37">
        <f>V17+V18</f>
        <v>0</v>
      </c>
      <c r="W16" s="37">
        <f>W17+W18</f>
        <v>0</v>
      </c>
      <c r="X16" s="38">
        <f>SUM(T16:W16)</f>
        <v>0</v>
      </c>
      <c r="Y16" s="37">
        <f>Y17+Y18</f>
        <v>0</v>
      </c>
      <c r="Z16" s="37">
        <f>Z17+Z18</f>
        <v>0</v>
      </c>
      <c r="AA16" s="37">
        <f>AA17+AA18</f>
        <v>0</v>
      </c>
      <c r="AB16" s="37">
        <f>AB17+AB18</f>
        <v>0</v>
      </c>
      <c r="AC16" s="38">
        <f>SUM(Y16:AB16)</f>
        <v>0</v>
      </c>
      <c r="AD16" s="40"/>
    </row>
    <row r="17" spans="2:30" ht="15.75">
      <c r="B17" s="252" t="s">
        <v>25</v>
      </c>
      <c r="C17" s="300"/>
      <c r="D17" s="41"/>
      <c r="E17" s="41"/>
      <c r="F17" s="41"/>
      <c r="G17" s="41"/>
      <c r="H17" s="38">
        <f aca="true" t="shared" si="0" ref="H17:H23">SUM(D17:G17)</f>
        <v>0</v>
      </c>
      <c r="I17" s="41"/>
      <c r="J17" s="41"/>
      <c r="K17" s="41"/>
      <c r="L17" s="41"/>
      <c r="M17" s="38">
        <f aca="true" t="shared" si="1" ref="M17:M23">SUM(I17:L17)</f>
        <v>0</v>
      </c>
      <c r="N17" s="41"/>
      <c r="O17" s="41"/>
      <c r="P17" s="41"/>
      <c r="Q17" s="41"/>
      <c r="R17" s="38">
        <f aca="true" t="shared" si="2" ref="R17:R23">SUM(N17:Q17)</f>
        <v>0</v>
      </c>
      <c r="S17" s="39">
        <f aca="true" t="shared" si="3" ref="S17:S23">H17+M17+R17</f>
        <v>0</v>
      </c>
      <c r="T17" s="41"/>
      <c r="U17" s="41"/>
      <c r="V17" s="41"/>
      <c r="W17" s="41"/>
      <c r="X17" s="38">
        <f aca="true" t="shared" si="4" ref="X17:X23">SUM(T17:W17)</f>
        <v>0</v>
      </c>
      <c r="Y17" s="41">
        <f>D17+I17+N17+T17</f>
        <v>0</v>
      </c>
      <c r="Z17" s="41">
        <f aca="true" t="shared" si="5" ref="Z17:AB23">E17+J17+O17+U17</f>
        <v>0</v>
      </c>
      <c r="AA17" s="41">
        <f t="shared" si="5"/>
        <v>0</v>
      </c>
      <c r="AB17" s="41">
        <f t="shared" si="5"/>
        <v>0</v>
      </c>
      <c r="AC17" s="38">
        <f aca="true" t="shared" si="6" ref="AC17:AC23">SUM(Y17:AB17)</f>
        <v>0</v>
      </c>
      <c r="AD17" s="42"/>
    </row>
    <row r="18" spans="2:30" ht="15.75">
      <c r="B18" s="43" t="s">
        <v>26</v>
      </c>
      <c r="C18" s="44"/>
      <c r="D18" s="41"/>
      <c r="E18" s="41"/>
      <c r="F18" s="41"/>
      <c r="G18" s="41"/>
      <c r="H18" s="38">
        <f t="shared" si="0"/>
        <v>0</v>
      </c>
      <c r="I18" s="41"/>
      <c r="J18" s="41"/>
      <c r="K18" s="41"/>
      <c r="L18" s="41"/>
      <c r="M18" s="38">
        <f t="shared" si="1"/>
        <v>0</v>
      </c>
      <c r="N18" s="41"/>
      <c r="O18" s="41"/>
      <c r="P18" s="41"/>
      <c r="Q18" s="41"/>
      <c r="R18" s="38">
        <f t="shared" si="2"/>
        <v>0</v>
      </c>
      <c r="S18" s="39">
        <f t="shared" si="3"/>
        <v>0</v>
      </c>
      <c r="T18" s="41"/>
      <c r="U18" s="41"/>
      <c r="V18" s="41"/>
      <c r="W18" s="41"/>
      <c r="X18" s="38">
        <f t="shared" si="4"/>
        <v>0</v>
      </c>
      <c r="Y18" s="41">
        <f aca="true" t="shared" si="7" ref="Y18:Y23">D18+I18+N18+T18</f>
        <v>0</v>
      </c>
      <c r="Z18" s="41">
        <f t="shared" si="5"/>
        <v>0</v>
      </c>
      <c r="AA18" s="41">
        <f t="shared" si="5"/>
        <v>0</v>
      </c>
      <c r="AB18" s="41">
        <f t="shared" si="5"/>
        <v>0</v>
      </c>
      <c r="AC18" s="38">
        <f t="shared" si="6"/>
        <v>0</v>
      </c>
      <c r="AD18" s="42"/>
    </row>
    <row r="19" spans="2:30" ht="15.75">
      <c r="B19" s="45" t="s">
        <v>27</v>
      </c>
      <c r="C19" s="44"/>
      <c r="D19" s="41"/>
      <c r="E19" s="41"/>
      <c r="F19" s="41"/>
      <c r="G19" s="41"/>
      <c r="H19" s="38">
        <f t="shared" si="0"/>
        <v>0</v>
      </c>
      <c r="I19" s="41"/>
      <c r="J19" s="41"/>
      <c r="K19" s="41"/>
      <c r="L19" s="41"/>
      <c r="M19" s="38">
        <f t="shared" si="1"/>
        <v>0</v>
      </c>
      <c r="N19" s="41"/>
      <c r="O19" s="41"/>
      <c r="P19" s="41"/>
      <c r="Q19" s="41"/>
      <c r="R19" s="38">
        <f t="shared" si="2"/>
        <v>0</v>
      </c>
      <c r="S19" s="39">
        <f t="shared" si="3"/>
        <v>0</v>
      </c>
      <c r="T19" s="41"/>
      <c r="U19" s="41"/>
      <c r="V19" s="41"/>
      <c r="W19" s="41"/>
      <c r="X19" s="38">
        <f t="shared" si="4"/>
        <v>0</v>
      </c>
      <c r="Y19" s="41">
        <f t="shared" si="7"/>
        <v>0</v>
      </c>
      <c r="Z19" s="41">
        <f t="shared" si="5"/>
        <v>0</v>
      </c>
      <c r="AA19" s="41">
        <f t="shared" si="5"/>
        <v>0</v>
      </c>
      <c r="AB19" s="41">
        <f t="shared" si="5"/>
        <v>0</v>
      </c>
      <c r="AC19" s="38">
        <f t="shared" si="6"/>
        <v>0</v>
      </c>
      <c r="AD19" s="42"/>
    </row>
    <row r="20" spans="2:30" ht="15.75">
      <c r="B20" s="45" t="s">
        <v>28</v>
      </c>
      <c r="C20" s="46"/>
      <c r="D20" s="41"/>
      <c r="E20" s="41"/>
      <c r="F20" s="41"/>
      <c r="G20" s="41"/>
      <c r="H20" s="38">
        <f t="shared" si="0"/>
        <v>0</v>
      </c>
      <c r="I20" s="41"/>
      <c r="J20" s="41"/>
      <c r="K20" s="41"/>
      <c r="L20" s="41"/>
      <c r="M20" s="38">
        <f t="shared" si="1"/>
        <v>0</v>
      </c>
      <c r="N20" s="41"/>
      <c r="O20" s="41"/>
      <c r="P20" s="41"/>
      <c r="Q20" s="41"/>
      <c r="R20" s="38">
        <f t="shared" si="2"/>
        <v>0</v>
      </c>
      <c r="S20" s="39">
        <f t="shared" si="3"/>
        <v>0</v>
      </c>
      <c r="T20" s="41"/>
      <c r="U20" s="41"/>
      <c r="V20" s="41"/>
      <c r="W20" s="41"/>
      <c r="X20" s="38">
        <f t="shared" si="4"/>
        <v>0</v>
      </c>
      <c r="Y20" s="41">
        <f t="shared" si="7"/>
        <v>0</v>
      </c>
      <c r="Z20" s="41">
        <f t="shared" si="5"/>
        <v>0</v>
      </c>
      <c r="AA20" s="41">
        <f t="shared" si="5"/>
        <v>0</v>
      </c>
      <c r="AB20" s="41">
        <f t="shared" si="5"/>
        <v>0</v>
      </c>
      <c r="AC20" s="38">
        <f t="shared" si="6"/>
        <v>0</v>
      </c>
      <c r="AD20" s="42"/>
    </row>
    <row r="21" spans="2:30" ht="15.75">
      <c r="B21" s="45" t="s">
        <v>29</v>
      </c>
      <c r="C21" s="46"/>
      <c r="D21" s="41"/>
      <c r="E21" s="41"/>
      <c r="F21" s="41"/>
      <c r="G21" s="41"/>
      <c r="H21" s="38">
        <f t="shared" si="0"/>
        <v>0</v>
      </c>
      <c r="I21" s="41"/>
      <c r="J21" s="41"/>
      <c r="K21" s="41"/>
      <c r="L21" s="41"/>
      <c r="M21" s="38">
        <f t="shared" si="1"/>
        <v>0</v>
      </c>
      <c r="N21" s="41"/>
      <c r="O21" s="41"/>
      <c r="P21" s="41"/>
      <c r="Q21" s="41"/>
      <c r="R21" s="38">
        <f t="shared" si="2"/>
        <v>0</v>
      </c>
      <c r="S21" s="39">
        <f t="shared" si="3"/>
        <v>0</v>
      </c>
      <c r="T21" s="41"/>
      <c r="U21" s="41"/>
      <c r="V21" s="41"/>
      <c r="W21" s="41"/>
      <c r="X21" s="38">
        <f t="shared" si="4"/>
        <v>0</v>
      </c>
      <c r="Y21" s="41">
        <f t="shared" si="7"/>
        <v>0</v>
      </c>
      <c r="Z21" s="41">
        <f t="shared" si="5"/>
        <v>0</v>
      </c>
      <c r="AA21" s="41">
        <f t="shared" si="5"/>
        <v>0</v>
      </c>
      <c r="AB21" s="41">
        <f t="shared" si="5"/>
        <v>0</v>
      </c>
      <c r="AC21" s="38">
        <f t="shared" si="6"/>
        <v>0</v>
      </c>
      <c r="AD21" s="42"/>
    </row>
    <row r="22" spans="2:30" ht="15.75">
      <c r="B22" s="45" t="s">
        <v>30</v>
      </c>
      <c r="C22" s="46"/>
      <c r="D22" s="41"/>
      <c r="E22" s="41"/>
      <c r="F22" s="41"/>
      <c r="G22" s="41"/>
      <c r="H22" s="38">
        <f t="shared" si="0"/>
        <v>0</v>
      </c>
      <c r="I22" s="41"/>
      <c r="J22" s="41"/>
      <c r="K22" s="41"/>
      <c r="L22" s="41"/>
      <c r="M22" s="38">
        <f t="shared" si="1"/>
        <v>0</v>
      </c>
      <c r="N22" s="41"/>
      <c r="O22" s="41"/>
      <c r="P22" s="41"/>
      <c r="Q22" s="41"/>
      <c r="R22" s="38">
        <f t="shared" si="2"/>
        <v>0</v>
      </c>
      <c r="S22" s="39">
        <f t="shared" si="3"/>
        <v>0</v>
      </c>
      <c r="T22" s="41"/>
      <c r="U22" s="41"/>
      <c r="V22" s="41"/>
      <c r="W22" s="41"/>
      <c r="X22" s="38">
        <f t="shared" si="4"/>
        <v>0</v>
      </c>
      <c r="Y22" s="41">
        <f t="shared" si="7"/>
        <v>0</v>
      </c>
      <c r="Z22" s="41">
        <f t="shared" si="5"/>
        <v>0</v>
      </c>
      <c r="AA22" s="41">
        <f t="shared" si="5"/>
        <v>0</v>
      </c>
      <c r="AB22" s="41">
        <f t="shared" si="5"/>
        <v>0</v>
      </c>
      <c r="AC22" s="38">
        <f t="shared" si="6"/>
        <v>0</v>
      </c>
      <c r="AD22" s="42"/>
    </row>
    <row r="23" spans="2:30" ht="15.75">
      <c r="B23" s="45" t="s">
        <v>31</v>
      </c>
      <c r="C23" s="46"/>
      <c r="D23" s="41"/>
      <c r="E23" s="41"/>
      <c r="F23" s="41"/>
      <c r="G23" s="41"/>
      <c r="H23" s="38">
        <f t="shared" si="0"/>
        <v>0</v>
      </c>
      <c r="I23" s="41"/>
      <c r="J23" s="41"/>
      <c r="K23" s="41"/>
      <c r="L23" s="41"/>
      <c r="M23" s="38">
        <f t="shared" si="1"/>
        <v>0</v>
      </c>
      <c r="N23" s="41"/>
      <c r="O23" s="41"/>
      <c r="P23" s="41"/>
      <c r="Q23" s="41"/>
      <c r="R23" s="38">
        <f t="shared" si="2"/>
        <v>0</v>
      </c>
      <c r="S23" s="39">
        <f t="shared" si="3"/>
        <v>0</v>
      </c>
      <c r="T23" s="41"/>
      <c r="U23" s="41"/>
      <c r="V23" s="41"/>
      <c r="W23" s="41"/>
      <c r="X23" s="38">
        <f t="shared" si="4"/>
        <v>0</v>
      </c>
      <c r="Y23" s="41">
        <f t="shared" si="7"/>
        <v>0</v>
      </c>
      <c r="Z23" s="41">
        <f t="shared" si="5"/>
        <v>0</v>
      </c>
      <c r="AA23" s="41">
        <f t="shared" si="5"/>
        <v>0</v>
      </c>
      <c r="AB23" s="41">
        <f t="shared" si="5"/>
        <v>0</v>
      </c>
      <c r="AC23" s="38">
        <f t="shared" si="6"/>
        <v>0</v>
      </c>
      <c r="AD23" s="42"/>
    </row>
    <row r="24" spans="2:30" ht="16.5" thickBot="1">
      <c r="B24" s="47"/>
      <c r="C24" s="46" t="s">
        <v>32</v>
      </c>
      <c r="D24" s="48">
        <f>D16+D20+D21+D23+D19+D22</f>
        <v>0</v>
      </c>
      <c r="E24" s="48">
        <f>E16+E20+E21+E23+E19+E22</f>
        <v>0</v>
      </c>
      <c r="F24" s="48">
        <f>F16+F20+F21+F23+F19+F22</f>
        <v>0</v>
      </c>
      <c r="G24" s="48">
        <f>G16+G20+G21+G23+G19+G22</f>
        <v>0</v>
      </c>
      <c r="H24" s="48">
        <f>H16+H20+H21+H23+H19+H22</f>
        <v>0</v>
      </c>
      <c r="I24" s="48">
        <f>I16+I20+I21+I23+I19+I22</f>
        <v>0</v>
      </c>
      <c r="J24" s="48">
        <f>J16+J20+J21+J23+J19+J22</f>
        <v>0</v>
      </c>
      <c r="K24" s="48">
        <f>K16+K20+K21+K23+K19+K22</f>
        <v>0</v>
      </c>
      <c r="L24" s="48">
        <f>L16+L20+L21+L23+L19+L22</f>
        <v>0</v>
      </c>
      <c r="M24" s="48">
        <f>M16+M20+M21+M23+M19+M22</f>
        <v>0</v>
      </c>
      <c r="N24" s="48">
        <f>N16+N20+N21+N23+N19+N22</f>
        <v>0</v>
      </c>
      <c r="O24" s="48">
        <f>O16+O20+O21+O23+O19+O22</f>
        <v>0</v>
      </c>
      <c r="P24" s="48">
        <f>P16+P20+P21+P23+P19+P22</f>
        <v>0</v>
      </c>
      <c r="Q24" s="48">
        <f>Q16+Q20+Q21+Q23+Q19+Q22</f>
        <v>0</v>
      </c>
      <c r="R24" s="48">
        <f>R16+R20+R21+R23+R19+R22</f>
        <v>0</v>
      </c>
      <c r="S24" s="48">
        <f>S16+S20+S21+S23</f>
        <v>0</v>
      </c>
      <c r="T24" s="48">
        <f>T16+T20+T21+T23+T19+T22</f>
        <v>0</v>
      </c>
      <c r="U24" s="48">
        <f>U16+U20+U21+U23+U19+U22</f>
        <v>0</v>
      </c>
      <c r="V24" s="48">
        <f>V16+V20+V21+V23+V19+V22</f>
        <v>0</v>
      </c>
      <c r="W24" s="48">
        <f>W16+W20+W21+W23+W19+W22</f>
        <v>0</v>
      </c>
      <c r="X24" s="48">
        <f>X16+X20+X21+X23+X19+X22</f>
        <v>0</v>
      </c>
      <c r="Y24" s="48">
        <f>Y16+Y20+Y21+Y23+Y19+Y22</f>
        <v>0</v>
      </c>
      <c r="Z24" s="48">
        <f>Z16+Z20+Z21+Z23+Z19+Z22</f>
        <v>0</v>
      </c>
      <c r="AA24" s="48">
        <f>AA16+AA20+AA21+AA23+AA19+AA22</f>
        <v>0</v>
      </c>
      <c r="AB24" s="48">
        <f>AB16+AB20+AB21+AB23+AB19+AB22</f>
        <v>0</v>
      </c>
      <c r="AC24" s="48">
        <f>AC16+AC20+AC21+AC23+AC19+AC22</f>
        <v>0</v>
      </c>
      <c r="AD24" s="42"/>
    </row>
    <row r="25" spans="2:30" ht="16.5" thickTop="1">
      <c r="B25" s="47"/>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42"/>
    </row>
    <row r="26" spans="2:30" ht="16.5" thickBot="1">
      <c r="B26" s="330"/>
      <c r="C26" s="33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2"/>
      <c r="AD26" s="53"/>
    </row>
    <row r="27" spans="2:30" ht="15.75">
      <c r="B27" s="54"/>
      <c r="C27" s="55"/>
      <c r="D27" s="56"/>
      <c r="E27" s="56"/>
      <c r="F27" s="56"/>
      <c r="G27" s="56"/>
      <c r="H27" s="57"/>
      <c r="I27" s="56"/>
      <c r="J27" s="56"/>
      <c r="K27" s="56"/>
      <c r="L27" s="56"/>
      <c r="M27" s="57"/>
      <c r="N27" s="57"/>
      <c r="O27" s="57"/>
      <c r="P27" s="57"/>
      <c r="Q27" s="57"/>
      <c r="R27" s="57"/>
      <c r="S27" s="57"/>
      <c r="T27" s="58"/>
      <c r="U27" s="58"/>
      <c r="V27" s="58"/>
      <c r="W27" s="58"/>
      <c r="X27" s="58"/>
      <c r="Y27" s="58"/>
      <c r="Z27" s="58"/>
      <c r="AA27" s="58"/>
      <c r="AB27" s="58"/>
      <c r="AC27" s="58"/>
      <c r="AD27" s="59"/>
    </row>
    <row r="28" spans="2:30" ht="15.75">
      <c r="B28" s="46" t="s">
        <v>33</v>
      </c>
      <c r="C28" s="60"/>
      <c r="D28" s="61"/>
      <c r="E28" s="61"/>
      <c r="F28" s="61"/>
      <c r="G28" s="61"/>
      <c r="H28" s="61"/>
      <c r="I28" s="62"/>
      <c r="J28" s="62"/>
      <c r="K28" s="62"/>
      <c r="L28" s="62"/>
      <c r="M28" s="63"/>
      <c r="N28" s="63"/>
      <c r="O28" s="63"/>
      <c r="P28" s="63"/>
      <c r="Q28" s="63"/>
      <c r="R28" s="63"/>
      <c r="S28" s="63"/>
      <c r="T28" s="64"/>
      <c r="U28" s="61"/>
      <c r="V28" s="61"/>
      <c r="W28" s="61"/>
      <c r="X28" s="61"/>
      <c r="Y28" s="61"/>
      <c r="Z28" s="61"/>
      <c r="AA28" s="61"/>
      <c r="AB28" s="61"/>
      <c r="AC28" s="61"/>
      <c r="AD28" s="65"/>
    </row>
    <row r="29" spans="2:30" ht="39">
      <c r="B29" s="46"/>
      <c r="C29" s="60"/>
      <c r="D29" s="78" t="s">
        <v>62</v>
      </c>
      <c r="E29" s="78" t="s">
        <v>34</v>
      </c>
      <c r="F29" s="78" t="s">
        <v>35</v>
      </c>
      <c r="G29" s="79"/>
      <c r="H29" s="78" t="s">
        <v>36</v>
      </c>
      <c r="I29" s="62"/>
      <c r="J29" s="62"/>
      <c r="K29" s="62"/>
      <c r="L29" s="62"/>
      <c r="M29" s="78" t="s">
        <v>34</v>
      </c>
      <c r="N29" s="78"/>
      <c r="O29" s="78" t="s">
        <v>35</v>
      </c>
      <c r="P29" s="79"/>
      <c r="Q29" s="78" t="s">
        <v>36</v>
      </c>
      <c r="AC29" s="61"/>
      <c r="AD29" s="65"/>
    </row>
    <row r="30" spans="2:30" ht="15.75">
      <c r="B30" s="66" t="s">
        <v>37</v>
      </c>
      <c r="C30" s="60"/>
      <c r="D30" s="62">
        <f>SUM(D31:D36)</f>
        <v>0</v>
      </c>
      <c r="E30" s="62">
        <f>SUM(E31:E36)</f>
        <v>0</v>
      </c>
      <c r="F30" s="62">
        <f>SUM(F31:F36)</f>
        <v>0</v>
      </c>
      <c r="G30" s="62"/>
      <c r="H30" s="62">
        <f>SUM(H31:H36)</f>
        <v>0</v>
      </c>
      <c r="I30" s="62"/>
      <c r="J30" s="254" t="s">
        <v>52</v>
      </c>
      <c r="K30" s="67" t="s">
        <v>38</v>
      </c>
      <c r="L30" s="62"/>
      <c r="M30" s="68">
        <f>+M34+M38+M42</f>
        <v>0</v>
      </c>
      <c r="N30" s="68"/>
      <c r="O30" s="68">
        <f>+O34+O38+O42</f>
        <v>0</v>
      </c>
      <c r="P30" s="68"/>
      <c r="Q30" s="68">
        <f>M30+O30</f>
        <v>0</v>
      </c>
      <c r="AC30" s="64"/>
      <c r="AD30" s="65"/>
    </row>
    <row r="31" spans="2:30" ht="15.75">
      <c r="B31" s="69"/>
      <c r="C31" s="66" t="s">
        <v>39</v>
      </c>
      <c r="D31" s="68"/>
      <c r="E31" s="68"/>
      <c r="F31" s="62"/>
      <c r="G31" s="62"/>
      <c r="H31" s="63">
        <f>D31+F31+E31</f>
        <v>0</v>
      </c>
      <c r="I31" s="62"/>
      <c r="J31" s="254"/>
      <c r="K31" s="64" t="s">
        <v>40</v>
      </c>
      <c r="L31" s="62"/>
      <c r="M31" s="70">
        <f>+M35+M39+M43</f>
        <v>0</v>
      </c>
      <c r="N31" s="70"/>
      <c r="O31" s="70">
        <f>+O35+O39+O43</f>
        <v>0</v>
      </c>
      <c r="P31" s="70"/>
      <c r="Q31" s="71">
        <f>M31+O31</f>
        <v>0</v>
      </c>
      <c r="AC31" s="64"/>
      <c r="AD31" s="65"/>
    </row>
    <row r="32" spans="2:30" ht="16.5" thickBot="1">
      <c r="B32" s="69"/>
      <c r="C32" s="66" t="s">
        <v>67</v>
      </c>
      <c r="D32" s="62"/>
      <c r="E32" s="62"/>
      <c r="F32" s="62"/>
      <c r="G32" s="62"/>
      <c r="H32" s="63">
        <f aca="true" t="shared" si="8" ref="H32:H38">D32+F32+E32</f>
        <v>0</v>
      </c>
      <c r="I32" s="62"/>
      <c r="J32" s="254"/>
      <c r="K32" s="64" t="s">
        <v>41</v>
      </c>
      <c r="L32" s="62"/>
      <c r="M32" s="72">
        <f>M30-M31</f>
        <v>0</v>
      </c>
      <c r="N32" s="70"/>
      <c r="O32" s="72">
        <f>O30-O31</f>
        <v>0</v>
      </c>
      <c r="P32" s="70"/>
      <c r="Q32" s="73">
        <f>Q30-Q31</f>
        <v>0</v>
      </c>
      <c r="AC32" s="64"/>
      <c r="AD32" s="65"/>
    </row>
    <row r="33" spans="2:30" ht="16.5" thickTop="1">
      <c r="B33" s="69"/>
      <c r="C33" s="66" t="s">
        <v>42</v>
      </c>
      <c r="D33" s="62"/>
      <c r="E33" s="62"/>
      <c r="F33" s="62">
        <f>+AC20</f>
        <v>0</v>
      </c>
      <c r="G33" s="62"/>
      <c r="H33" s="63">
        <f t="shared" si="8"/>
        <v>0</v>
      </c>
      <c r="I33" s="62"/>
      <c r="J33" s="76"/>
      <c r="K33" s="64"/>
      <c r="L33" s="62"/>
      <c r="M33" s="64"/>
      <c r="N33" s="64"/>
      <c r="O33" s="64"/>
      <c r="P33" s="64"/>
      <c r="Q33" s="64"/>
      <c r="S33" s="77" t="s">
        <v>58</v>
      </c>
      <c r="Y33" s="77" t="s">
        <v>60</v>
      </c>
      <c r="AC33" s="64"/>
      <c r="AD33" s="65"/>
    </row>
    <row r="34" spans="2:30" ht="15" customHeight="1">
      <c r="B34" s="69"/>
      <c r="C34" s="66" t="s">
        <v>43</v>
      </c>
      <c r="D34" s="62"/>
      <c r="E34" s="62"/>
      <c r="F34" s="62"/>
      <c r="G34" s="62"/>
      <c r="H34" s="63">
        <f t="shared" si="8"/>
        <v>0</v>
      </c>
      <c r="I34" s="62"/>
      <c r="J34" s="254" t="s">
        <v>53</v>
      </c>
      <c r="K34" s="67" t="s">
        <v>38</v>
      </c>
      <c r="L34" s="62"/>
      <c r="M34" s="68"/>
      <c r="N34" s="68"/>
      <c r="O34" s="68"/>
      <c r="P34" s="68"/>
      <c r="Q34" s="68">
        <f>M34+O34</f>
        <v>0</v>
      </c>
      <c r="AC34" s="64"/>
      <c r="AD34" s="65"/>
    </row>
    <row r="35" spans="2:30" ht="15.75">
      <c r="B35" s="69"/>
      <c r="C35" s="66" t="s">
        <v>44</v>
      </c>
      <c r="D35" s="62"/>
      <c r="E35" s="62"/>
      <c r="F35" s="62"/>
      <c r="G35" s="62"/>
      <c r="H35" s="63">
        <f t="shared" si="8"/>
        <v>0</v>
      </c>
      <c r="I35" s="62"/>
      <c r="J35" s="254"/>
      <c r="K35" s="64" t="s">
        <v>40</v>
      </c>
      <c r="L35" s="62"/>
      <c r="M35" s="70"/>
      <c r="N35" s="70"/>
      <c r="O35" s="70">
        <f>+H24</f>
        <v>0</v>
      </c>
      <c r="P35" s="70"/>
      <c r="Q35" s="71">
        <f>M35+O35</f>
        <v>0</v>
      </c>
      <c r="AC35" s="64"/>
      <c r="AD35" s="65"/>
    </row>
    <row r="36" spans="2:30" ht="16.5" thickBot="1">
      <c r="B36" s="69"/>
      <c r="C36" s="66" t="s">
        <v>45</v>
      </c>
      <c r="D36" s="62"/>
      <c r="E36" s="62"/>
      <c r="F36" s="62"/>
      <c r="G36" s="62"/>
      <c r="H36" s="63">
        <f t="shared" si="8"/>
        <v>0</v>
      </c>
      <c r="I36" s="62"/>
      <c r="J36" s="254"/>
      <c r="K36" s="64" t="s">
        <v>41</v>
      </c>
      <c r="L36" s="62"/>
      <c r="M36" s="72">
        <f>M34-M35</f>
        <v>0</v>
      </c>
      <c r="N36" s="70"/>
      <c r="O36" s="72">
        <f>O34-O35</f>
        <v>0</v>
      </c>
      <c r="P36" s="70"/>
      <c r="Q36" s="73">
        <f>Q34-Q35</f>
        <v>0</v>
      </c>
      <c r="AC36" s="64"/>
      <c r="AD36" s="65"/>
    </row>
    <row r="37" spans="2:30" ht="16.5" thickTop="1">
      <c r="B37" s="74" t="s">
        <v>46</v>
      </c>
      <c r="C37" s="66"/>
      <c r="D37" s="62"/>
      <c r="E37" s="62"/>
      <c r="F37" s="62"/>
      <c r="G37" s="62"/>
      <c r="H37" s="63">
        <f t="shared" si="8"/>
        <v>0</v>
      </c>
      <c r="I37" s="62"/>
      <c r="J37" s="76"/>
      <c r="K37" s="64"/>
      <c r="L37" s="62"/>
      <c r="M37" s="64"/>
      <c r="N37" s="64"/>
      <c r="O37" s="64"/>
      <c r="P37" s="64"/>
      <c r="Q37" s="64"/>
      <c r="AC37" s="64"/>
      <c r="AD37" s="65"/>
    </row>
    <row r="38" spans="2:30" ht="15" customHeight="1">
      <c r="B38" s="74" t="s">
        <v>47</v>
      </c>
      <c r="C38" s="66"/>
      <c r="D38" s="62"/>
      <c r="E38" s="62"/>
      <c r="F38" s="62"/>
      <c r="G38" s="62"/>
      <c r="H38" s="63">
        <f t="shared" si="8"/>
        <v>0</v>
      </c>
      <c r="I38" s="62"/>
      <c r="J38" s="254" t="s">
        <v>54</v>
      </c>
      <c r="K38" s="67" t="s">
        <v>38</v>
      </c>
      <c r="L38" s="62"/>
      <c r="M38" s="68"/>
      <c r="N38" s="68"/>
      <c r="O38" s="68"/>
      <c r="P38" s="68"/>
      <c r="Q38" s="68">
        <f>M38+O38</f>
        <v>0</v>
      </c>
      <c r="S38" s="329" t="s">
        <v>59</v>
      </c>
      <c r="T38" s="329"/>
      <c r="Y38" s="329" t="s">
        <v>61</v>
      </c>
      <c r="Z38" s="329"/>
      <c r="AC38" s="64"/>
      <c r="AD38" s="65"/>
    </row>
    <row r="39" spans="3:30" ht="15.75">
      <c r="C39" s="74" t="s">
        <v>65</v>
      </c>
      <c r="D39" s="62"/>
      <c r="E39" s="62"/>
      <c r="F39" s="62"/>
      <c r="G39" s="62"/>
      <c r="H39" s="63">
        <f>D39+F39+E39</f>
        <v>0</v>
      </c>
      <c r="I39" s="62"/>
      <c r="J39" s="254"/>
      <c r="K39" s="64" t="s">
        <v>40</v>
      </c>
      <c r="L39" s="62"/>
      <c r="M39" s="70"/>
      <c r="N39" s="70"/>
      <c r="O39" s="70">
        <f>+R24</f>
        <v>0</v>
      </c>
      <c r="P39" s="70"/>
      <c r="Q39" s="71">
        <f>M39+O39</f>
        <v>0</v>
      </c>
      <c r="AC39" s="64"/>
      <c r="AD39" s="65"/>
    </row>
    <row r="40" spans="3:30" ht="16.5" thickBot="1">
      <c r="C40" s="74" t="s">
        <v>66</v>
      </c>
      <c r="D40" s="62"/>
      <c r="E40" s="62"/>
      <c r="F40" s="62"/>
      <c r="G40" s="62"/>
      <c r="H40" s="63">
        <f>D40+F40+E40</f>
        <v>0</v>
      </c>
      <c r="I40" s="62"/>
      <c r="J40" s="254"/>
      <c r="K40" s="64" t="s">
        <v>41</v>
      </c>
      <c r="L40" s="62"/>
      <c r="M40" s="72">
        <f>M38-M39</f>
        <v>0</v>
      </c>
      <c r="N40" s="70"/>
      <c r="O40" s="72">
        <f>O38-O39</f>
        <v>0</v>
      </c>
      <c r="P40" s="70"/>
      <c r="Q40" s="73">
        <f>Q38-Q39</f>
        <v>0</v>
      </c>
      <c r="AC40" s="64"/>
      <c r="AD40" s="65"/>
    </row>
    <row r="41" spans="2:30" ht="16.5" thickTop="1">
      <c r="B41" s="66" t="s">
        <v>48</v>
      </c>
      <c r="C41" s="66"/>
      <c r="D41" s="62">
        <f>D30-D37+D38-D39+D40</f>
        <v>0</v>
      </c>
      <c r="E41" s="62">
        <f>E30-E37+E38-E39+E40</f>
        <v>0</v>
      </c>
      <c r="F41" s="62">
        <f>F30-F37+F38-F39+F40</f>
        <v>0</v>
      </c>
      <c r="G41" s="62"/>
      <c r="H41" s="62">
        <f>H30-H37+H38-H39+H40</f>
        <v>0</v>
      </c>
      <c r="I41" s="62"/>
      <c r="J41" s="76"/>
      <c r="K41" s="64"/>
      <c r="L41" s="62"/>
      <c r="M41" s="64"/>
      <c r="N41" s="64"/>
      <c r="O41" s="64"/>
      <c r="P41" s="64"/>
      <c r="Q41" s="64"/>
      <c r="AC41" s="64"/>
      <c r="AD41" s="65"/>
    </row>
    <row r="42" spans="2:30" ht="15" customHeight="1">
      <c r="B42" s="74" t="s">
        <v>51</v>
      </c>
      <c r="C42" s="66"/>
      <c r="D42" s="62"/>
      <c r="E42" s="62"/>
      <c r="F42" s="62"/>
      <c r="G42" s="62"/>
      <c r="H42" s="63">
        <f>D42+F42+E42</f>
        <v>0</v>
      </c>
      <c r="I42" s="62"/>
      <c r="J42" s="254" t="s">
        <v>55</v>
      </c>
      <c r="K42" s="67" t="s">
        <v>38</v>
      </c>
      <c r="L42" s="62"/>
      <c r="M42" s="68"/>
      <c r="N42" s="68"/>
      <c r="O42" s="68"/>
      <c r="P42" s="68"/>
      <c r="Q42" s="68">
        <f>M42+O42</f>
        <v>0</v>
      </c>
      <c r="AC42" s="64"/>
      <c r="AD42" s="65"/>
    </row>
    <row r="43" spans="2:30" ht="15.75">
      <c r="B43" s="69"/>
      <c r="C43" s="66" t="s">
        <v>49</v>
      </c>
      <c r="D43" s="62"/>
      <c r="E43" s="62"/>
      <c r="F43" s="62">
        <f>AC24</f>
        <v>0</v>
      </c>
      <c r="G43" s="62"/>
      <c r="H43" s="63">
        <f>D43+F43+E43</f>
        <v>0</v>
      </c>
      <c r="I43" s="25"/>
      <c r="J43" s="254"/>
      <c r="K43" s="64" t="s">
        <v>40</v>
      </c>
      <c r="L43" s="25"/>
      <c r="M43" s="70"/>
      <c r="N43" s="70"/>
      <c r="O43" s="70">
        <f>+M24</f>
        <v>0</v>
      </c>
      <c r="P43" s="70"/>
      <c r="Q43" s="71">
        <f>M43+O43</f>
        <v>0</v>
      </c>
      <c r="AC43" s="27"/>
      <c r="AD43" s="28"/>
    </row>
    <row r="44" spans="2:30" ht="16.5" thickBot="1">
      <c r="B44" s="74" t="s">
        <v>50</v>
      </c>
      <c r="C44" s="49"/>
      <c r="D44" s="75">
        <f>D41-D42-D43</f>
        <v>0</v>
      </c>
      <c r="E44" s="75">
        <f>E41-E42-E43</f>
        <v>0</v>
      </c>
      <c r="F44" s="75">
        <f>F41-F42-F43</f>
        <v>0</v>
      </c>
      <c r="G44" s="62"/>
      <c r="H44" s="75">
        <f>H41-H42-H43</f>
        <v>0</v>
      </c>
      <c r="I44" s="25"/>
      <c r="J44" s="254"/>
      <c r="K44" s="64" t="s">
        <v>41</v>
      </c>
      <c r="L44" s="25"/>
      <c r="M44" s="72">
        <f>M42-M43</f>
        <v>0</v>
      </c>
      <c r="N44" s="70"/>
      <c r="O44" s="72">
        <f>O42-O43</f>
        <v>0</v>
      </c>
      <c r="P44" s="70"/>
      <c r="Q44" s="73">
        <f>Q42-Q43</f>
        <v>0</v>
      </c>
      <c r="AC44" s="27"/>
      <c r="AD44" s="28"/>
    </row>
    <row r="45" spans="2:8" ht="16.5" thickTop="1">
      <c r="B45" s="29"/>
      <c r="C45" s="30"/>
      <c r="D45" s="25"/>
      <c r="E45" s="25"/>
      <c r="F45" s="25"/>
      <c r="G45" s="25"/>
      <c r="H45" s="26"/>
    </row>
    <row r="46" spans="2:8" ht="15.75">
      <c r="B46" s="29"/>
      <c r="C46" s="24" t="s">
        <v>64</v>
      </c>
      <c r="D46" s="25"/>
      <c r="E46" s="25"/>
      <c r="F46" s="25"/>
      <c r="G46" s="25"/>
      <c r="H46" s="26"/>
    </row>
    <row r="47" ht="15.75">
      <c r="C47" s="80" t="s">
        <v>69</v>
      </c>
    </row>
    <row r="48" ht="15.75">
      <c r="C48" s="81" t="s">
        <v>75</v>
      </c>
    </row>
    <row r="49" ht="15.75">
      <c r="C49" s="81" t="s">
        <v>74</v>
      </c>
    </row>
    <row r="50" ht="15.75">
      <c r="C50" s="81" t="s">
        <v>76</v>
      </c>
    </row>
    <row r="51" ht="15.75">
      <c r="C51" s="81" t="s">
        <v>72</v>
      </c>
    </row>
    <row r="52" ht="15.75">
      <c r="C52" s="81" t="s">
        <v>73</v>
      </c>
    </row>
    <row r="53" ht="15.75">
      <c r="C53" s="81" t="s">
        <v>77</v>
      </c>
    </row>
    <row r="54" ht="15.75">
      <c r="C54" s="80"/>
    </row>
  </sheetData>
  <sheetProtection/>
  <mergeCells count="28">
    <mergeCell ref="J42:J44"/>
    <mergeCell ref="S38:T38"/>
    <mergeCell ref="B14:C14"/>
    <mergeCell ref="D14:H14"/>
    <mergeCell ref="I14:M14"/>
    <mergeCell ref="N14:R14"/>
    <mergeCell ref="Y38:Z38"/>
    <mergeCell ref="T14:X14"/>
    <mergeCell ref="Y14:AC14"/>
    <mergeCell ref="B15:C15"/>
    <mergeCell ref="B16:C16"/>
    <mergeCell ref="B17:C17"/>
    <mergeCell ref="B26:C26"/>
    <mergeCell ref="J30:J32"/>
    <mergeCell ref="J34:J36"/>
    <mergeCell ref="J38:J40"/>
    <mergeCell ref="B1:AD1"/>
    <mergeCell ref="B2:AD2"/>
    <mergeCell ref="B3:AD3"/>
    <mergeCell ref="B11:C13"/>
    <mergeCell ref="D11:H12"/>
    <mergeCell ref="I11:R11"/>
    <mergeCell ref="S11:S13"/>
    <mergeCell ref="T11:X12"/>
    <mergeCell ref="Y11:AC12"/>
    <mergeCell ref="AD11:AD13"/>
    <mergeCell ref="I12:M12"/>
    <mergeCell ref="N12:R12"/>
  </mergeCells>
  <printOptions horizontalCentered="1"/>
  <pageMargins left="0.15944881889763785" right="0.15944881889763785" top="0.21259842519685043" bottom="0.21259842519685043" header="0.5" footer="0.5"/>
  <pageSetup orientation="landscape" paperSize="3" scale="66" r:id="rId1"/>
</worksheet>
</file>

<file path=xl/worksheets/sheet2.xml><?xml version="1.0" encoding="utf-8"?>
<worksheet xmlns="http://schemas.openxmlformats.org/spreadsheetml/2006/main" xmlns:r="http://schemas.openxmlformats.org/officeDocument/2006/relationships">
  <dimension ref="A1:AE117"/>
  <sheetViews>
    <sheetView tabSelected="1" zoomScaleSheetLayoutView="85" zoomScalePageLayoutView="0" workbookViewId="0" topLeftCell="A1">
      <selection activeCell="A22" sqref="A22"/>
    </sheetView>
  </sheetViews>
  <sheetFormatPr defaultColWidth="11.00390625" defaultRowHeight="15.75"/>
  <cols>
    <col min="1" max="1" width="1.37890625" style="60" customWidth="1"/>
    <col min="2" max="2" width="26.125" style="60" customWidth="1"/>
    <col min="3" max="3" width="12.125" style="61" customWidth="1"/>
    <col min="4" max="4" width="13.50390625" style="61" customWidth="1"/>
    <col min="5" max="5" width="13.25390625" style="61" customWidth="1"/>
    <col min="6" max="6" width="11.375" style="61" customWidth="1"/>
    <col min="7" max="7" width="14.625" style="61" customWidth="1"/>
    <col min="8" max="8" width="10.375" style="61" customWidth="1"/>
    <col min="9" max="9" width="11.875" style="61" customWidth="1"/>
    <col min="10" max="10" width="9.375" style="61" customWidth="1"/>
    <col min="11" max="11" width="11.50390625" style="61" customWidth="1"/>
    <col min="12" max="12" width="15.00390625" style="61" customWidth="1"/>
    <col min="13" max="13" width="4.125" style="61" customWidth="1"/>
    <col min="14" max="14" width="11.125" style="61" customWidth="1"/>
    <col min="15" max="15" width="4.25390625" style="61" customWidth="1"/>
    <col min="16" max="16" width="13.00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0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122</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t="s">
        <v>127</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30" ht="15.75">
      <c r="A17" s="250" t="s">
        <v>24</v>
      </c>
      <c r="B17" s="251"/>
      <c r="C17" s="208">
        <f>C18+C19</f>
        <v>15269225.429999998</v>
      </c>
      <c r="D17" s="209">
        <f>D18+D19</f>
        <v>181103287.27000004</v>
      </c>
      <c r="E17" s="208">
        <f>E18+E19</f>
        <v>0</v>
      </c>
      <c r="F17" s="208">
        <f>F18+F19</f>
        <v>33561854.37</v>
      </c>
      <c r="G17" s="210">
        <f>SUM(C17:F17)</f>
        <v>229934367.07000005</v>
      </c>
      <c r="H17" s="208">
        <f>H18+H19</f>
        <v>17398.65</v>
      </c>
      <c r="I17" s="208">
        <f>I18+I19</f>
        <v>84850533.02</v>
      </c>
      <c r="J17" s="208">
        <f>J18+J19</f>
        <v>0</v>
      </c>
      <c r="K17" s="208">
        <f>K18+K19</f>
        <v>46809397.02</v>
      </c>
      <c r="L17" s="210">
        <f>SUM(H17:K17)</f>
        <v>131677328.69</v>
      </c>
      <c r="M17" s="209">
        <f>M18+M19</f>
        <v>0</v>
      </c>
      <c r="N17" s="208">
        <f>N18+N19</f>
        <v>0</v>
      </c>
      <c r="O17" s="208">
        <f>O18+O19</f>
        <v>0</v>
      </c>
      <c r="P17" s="208">
        <f>P18+P19</f>
        <v>0</v>
      </c>
      <c r="Q17" s="210">
        <f>SUM(M17:P17)</f>
        <v>0</v>
      </c>
      <c r="R17" s="211">
        <f>G17+L17+Q17</f>
        <v>361611695.76000005</v>
      </c>
      <c r="S17" s="208">
        <f>S18+S19</f>
        <v>0</v>
      </c>
      <c r="T17" s="208">
        <f>T18+T19</f>
        <v>0</v>
      </c>
      <c r="U17" s="208">
        <f>U18+U19</f>
        <v>0</v>
      </c>
      <c r="V17" s="208">
        <f>V18+V19</f>
        <v>0</v>
      </c>
      <c r="W17" s="210">
        <f>SUM(S17:V17)</f>
        <v>0</v>
      </c>
      <c r="X17" s="208">
        <f>X18+X19</f>
        <v>15286624.079999998</v>
      </c>
      <c r="Y17" s="208">
        <f>Y18+Y19</f>
        <v>265953820.29000002</v>
      </c>
      <c r="Z17" s="208">
        <f>Z18+Z19</f>
        <v>0</v>
      </c>
      <c r="AA17" s="208">
        <f>AA18+AA19</f>
        <v>80371251.39</v>
      </c>
      <c r="AB17" s="210">
        <f>SUM(X17:AA17)</f>
        <v>361611695.76</v>
      </c>
      <c r="AC17" s="212"/>
      <c r="AD17" s="213"/>
    </row>
    <row r="18" spans="1:31" ht="15.75">
      <c r="A18" s="252" t="s">
        <v>25</v>
      </c>
      <c r="B18" s="253"/>
      <c r="C18" s="214">
        <f>1052915.34+9112166.77+4834214.06-5000+164858.66</f>
        <v>15159154.829999998</v>
      </c>
      <c r="D18" s="215">
        <f>40969888.88+103156470.24+17875490.15-8869.39-1170000</f>
        <v>160822979.88000003</v>
      </c>
      <c r="E18" s="216"/>
      <c r="F18" s="216">
        <f>9290847.2+23341928.88</f>
        <v>32632776.08</v>
      </c>
      <c r="G18" s="210">
        <f aca="true" t="shared" si="0" ref="G18:G24">SUM(C18:F18)</f>
        <v>208614910.79000002</v>
      </c>
      <c r="H18" s="217">
        <v>0</v>
      </c>
      <c r="I18" s="214">
        <f>15235506.38+38819437.21+30188243.85-53670.16</f>
        <v>84189517.28</v>
      </c>
      <c r="J18" s="218"/>
      <c r="K18" s="218">
        <f>5750775+20774441.28+16152275.79</f>
        <v>42677492.07</v>
      </c>
      <c r="L18" s="210">
        <f aca="true" t="shared" si="1" ref="L18:L24">SUM(H18:K18)</f>
        <v>126867009.35</v>
      </c>
      <c r="M18" s="219"/>
      <c r="N18" s="220"/>
      <c r="O18" s="220"/>
      <c r="P18" s="220"/>
      <c r="Q18" s="210">
        <f aca="true" t="shared" si="2" ref="Q18:Q24">SUM(M18:P18)</f>
        <v>0</v>
      </c>
      <c r="R18" s="211">
        <f aca="true" t="shared" si="3" ref="R18:R24">G18+L18+Q18</f>
        <v>335481920.14</v>
      </c>
      <c r="S18" s="220"/>
      <c r="T18" s="220"/>
      <c r="U18" s="220"/>
      <c r="V18" s="220"/>
      <c r="W18" s="210">
        <f aca="true" t="shared" si="4" ref="W18:W24">SUM(S18:V18)</f>
        <v>0</v>
      </c>
      <c r="X18" s="220">
        <f>C18+H18+M18+S18</f>
        <v>15159154.829999998</v>
      </c>
      <c r="Y18" s="220">
        <f aca="true" t="shared" si="5" ref="Y18:AA24">D18+I18+N18+T18</f>
        <v>245012497.16000003</v>
      </c>
      <c r="Z18" s="220">
        <f t="shared" si="5"/>
        <v>0</v>
      </c>
      <c r="AA18" s="220">
        <f t="shared" si="5"/>
        <v>75310268.15</v>
      </c>
      <c r="AB18" s="210">
        <f aca="true" t="shared" si="6" ref="AB18:AB24">SUM(X18:AA18)</f>
        <v>335481920.14</v>
      </c>
      <c r="AC18" s="221"/>
      <c r="AD18" s="213"/>
      <c r="AE18" s="128"/>
    </row>
    <row r="19" spans="1:30" ht="15.75">
      <c r="A19" s="200" t="s">
        <v>26</v>
      </c>
      <c r="B19" s="201"/>
      <c r="C19" s="216">
        <v>110070.6</v>
      </c>
      <c r="D19" s="222">
        <f>20284303.39-3996</f>
        <v>20280307.39</v>
      </c>
      <c r="E19" s="216"/>
      <c r="F19" s="216">
        <v>929078.29</v>
      </c>
      <c r="G19" s="210">
        <f t="shared" si="0"/>
        <v>21319456.28</v>
      </c>
      <c r="H19" s="216">
        <v>17398.65</v>
      </c>
      <c r="I19" s="222">
        <v>661015.74</v>
      </c>
      <c r="J19" s="216"/>
      <c r="K19" s="216">
        <v>4131904.95</v>
      </c>
      <c r="L19" s="210">
        <f t="shared" si="1"/>
        <v>4810319.34</v>
      </c>
      <c r="M19" s="219"/>
      <c r="N19" s="220"/>
      <c r="O19" s="220"/>
      <c r="P19" s="220"/>
      <c r="Q19" s="210">
        <f t="shared" si="2"/>
        <v>0</v>
      </c>
      <c r="R19" s="211">
        <f t="shared" si="3"/>
        <v>26129775.62</v>
      </c>
      <c r="S19" s="220"/>
      <c r="T19" s="220"/>
      <c r="U19" s="220"/>
      <c r="V19" s="220"/>
      <c r="W19" s="210">
        <f t="shared" si="4"/>
        <v>0</v>
      </c>
      <c r="X19" s="220">
        <f aca="true" t="shared" si="7" ref="X19:X24">C19+H19+M19+S19</f>
        <v>127469.25</v>
      </c>
      <c r="Y19" s="220">
        <f t="shared" si="5"/>
        <v>20941323.13</v>
      </c>
      <c r="Z19" s="220">
        <f t="shared" si="5"/>
        <v>0</v>
      </c>
      <c r="AA19" s="220">
        <f t="shared" si="5"/>
        <v>5060983.24</v>
      </c>
      <c r="AB19" s="210">
        <f t="shared" si="6"/>
        <v>26129775.619999997</v>
      </c>
      <c r="AC19" s="221"/>
      <c r="AD19" s="213"/>
    </row>
    <row r="20" spans="1:30" ht="15.75">
      <c r="A20" s="199" t="s">
        <v>27</v>
      </c>
      <c r="B20" s="201"/>
      <c r="C20" s="216"/>
      <c r="D20" s="223"/>
      <c r="E20" s="216"/>
      <c r="F20" s="216"/>
      <c r="G20" s="210">
        <f t="shared" si="0"/>
        <v>0</v>
      </c>
      <c r="H20" s="216"/>
      <c r="I20" s="216"/>
      <c r="J20" s="216"/>
      <c r="K20" s="216"/>
      <c r="L20" s="210">
        <f t="shared" si="1"/>
        <v>0</v>
      </c>
      <c r="M20" s="219"/>
      <c r="N20" s="220"/>
      <c r="O20" s="220"/>
      <c r="P20" s="220"/>
      <c r="Q20" s="210">
        <f t="shared" si="2"/>
        <v>0</v>
      </c>
      <c r="R20" s="211">
        <f t="shared" si="3"/>
        <v>0</v>
      </c>
      <c r="S20" s="220"/>
      <c r="T20" s="220"/>
      <c r="U20" s="220"/>
      <c r="V20" s="220"/>
      <c r="W20" s="210">
        <f t="shared" si="4"/>
        <v>0</v>
      </c>
      <c r="X20" s="220">
        <f t="shared" si="7"/>
        <v>0</v>
      </c>
      <c r="Y20" s="220">
        <f t="shared" si="5"/>
        <v>0</v>
      </c>
      <c r="Z20" s="220">
        <f t="shared" si="5"/>
        <v>0</v>
      </c>
      <c r="AA20" s="220">
        <f t="shared" si="5"/>
        <v>0</v>
      </c>
      <c r="AB20" s="210">
        <f t="shared" si="6"/>
        <v>0</v>
      </c>
      <c r="AC20" s="221"/>
      <c r="AD20" s="213"/>
    </row>
    <row r="21" spans="1:31" ht="15.75">
      <c r="A21" s="199" t="s">
        <v>28</v>
      </c>
      <c r="B21" s="202"/>
      <c r="C21" s="214">
        <v>640450.64</v>
      </c>
      <c r="D21" s="217">
        <f>560078.1+587732.34</f>
        <v>1147810.44</v>
      </c>
      <c r="E21" s="214"/>
      <c r="F21" s="217">
        <f>42038.71</f>
        <v>42038.71</v>
      </c>
      <c r="G21" s="210">
        <f t="shared" si="0"/>
        <v>1830299.79</v>
      </c>
      <c r="H21" s="216"/>
      <c r="I21" s="217">
        <f>40312.61+485665.07+4353598.86</f>
        <v>4879576.54</v>
      </c>
      <c r="J21" s="214"/>
      <c r="K21" s="217">
        <f>256959+18483.96+41130.81+30312.5+15312.5</f>
        <v>362198.77</v>
      </c>
      <c r="L21" s="210">
        <f t="shared" si="1"/>
        <v>5241775.3100000005</v>
      </c>
      <c r="M21" s="224"/>
      <c r="N21" s="225"/>
      <c r="O21" s="220"/>
      <c r="P21" s="220"/>
      <c r="Q21" s="210">
        <f t="shared" si="2"/>
        <v>0</v>
      </c>
      <c r="R21" s="211">
        <f t="shared" si="3"/>
        <v>7072075.100000001</v>
      </c>
      <c r="S21" s="220"/>
      <c r="T21" s="220"/>
      <c r="U21" s="220"/>
      <c r="V21" s="220"/>
      <c r="W21" s="210">
        <f t="shared" si="4"/>
        <v>0</v>
      </c>
      <c r="X21" s="220">
        <f t="shared" si="7"/>
        <v>640450.64</v>
      </c>
      <c r="Y21" s="220">
        <f t="shared" si="5"/>
        <v>6027386.98</v>
      </c>
      <c r="Z21" s="220">
        <f>E21+J21+O21+U21</f>
        <v>0</v>
      </c>
      <c r="AA21" s="220">
        <f t="shared" si="5"/>
        <v>404237.48000000004</v>
      </c>
      <c r="AB21" s="210">
        <f t="shared" si="6"/>
        <v>7072075.100000001</v>
      </c>
      <c r="AC21" s="221"/>
      <c r="AD21" s="213"/>
      <c r="AE21" s="128"/>
    </row>
    <row r="22" spans="1:30" ht="15.75">
      <c r="A22" s="199" t="s">
        <v>29</v>
      </c>
      <c r="B22" s="202"/>
      <c r="C22" s="216"/>
      <c r="D22" s="223"/>
      <c r="E22" s="216"/>
      <c r="F22" s="216"/>
      <c r="G22" s="210">
        <f t="shared" si="0"/>
        <v>0</v>
      </c>
      <c r="H22" s="216"/>
      <c r="I22" s="216"/>
      <c r="J22" s="216"/>
      <c r="K22" s="216"/>
      <c r="L22" s="210">
        <f t="shared" si="1"/>
        <v>0</v>
      </c>
      <c r="M22" s="219"/>
      <c r="N22" s="220"/>
      <c r="O22" s="220"/>
      <c r="P22" s="220"/>
      <c r="Q22" s="210">
        <f t="shared" si="2"/>
        <v>0</v>
      </c>
      <c r="R22" s="211">
        <f t="shared" si="3"/>
        <v>0</v>
      </c>
      <c r="S22" s="220"/>
      <c r="T22" s="220"/>
      <c r="U22" s="220"/>
      <c r="V22" s="220"/>
      <c r="W22" s="210">
        <f t="shared" si="4"/>
        <v>0</v>
      </c>
      <c r="X22" s="220">
        <f t="shared" si="7"/>
        <v>0</v>
      </c>
      <c r="Y22" s="220">
        <f t="shared" si="5"/>
        <v>0</v>
      </c>
      <c r="Z22" s="220">
        <f t="shared" si="5"/>
        <v>0</v>
      </c>
      <c r="AA22" s="220">
        <f t="shared" si="5"/>
        <v>0</v>
      </c>
      <c r="AB22" s="210">
        <f t="shared" si="6"/>
        <v>0</v>
      </c>
      <c r="AC22" s="221"/>
      <c r="AD22" s="213"/>
    </row>
    <row r="23" spans="1:30" ht="15.75">
      <c r="A23" s="199" t="s">
        <v>30</v>
      </c>
      <c r="B23" s="202"/>
      <c r="C23" s="216"/>
      <c r="D23" s="223"/>
      <c r="E23" s="216"/>
      <c r="F23" s="216"/>
      <c r="G23" s="210">
        <f t="shared" si="0"/>
        <v>0</v>
      </c>
      <c r="H23" s="216"/>
      <c r="I23" s="216"/>
      <c r="J23" s="216"/>
      <c r="K23" s="216"/>
      <c r="L23" s="210">
        <f t="shared" si="1"/>
        <v>0</v>
      </c>
      <c r="M23" s="219"/>
      <c r="N23" s="220"/>
      <c r="O23" s="220"/>
      <c r="P23" s="220"/>
      <c r="Q23" s="210">
        <f t="shared" si="2"/>
        <v>0</v>
      </c>
      <c r="R23" s="211">
        <f t="shared" si="3"/>
        <v>0</v>
      </c>
      <c r="S23" s="220"/>
      <c r="T23" s="220"/>
      <c r="U23" s="220"/>
      <c r="V23" s="220"/>
      <c r="W23" s="210">
        <f t="shared" si="4"/>
        <v>0</v>
      </c>
      <c r="X23" s="220">
        <f t="shared" si="7"/>
        <v>0</v>
      </c>
      <c r="Y23" s="220">
        <f t="shared" si="5"/>
        <v>0</v>
      </c>
      <c r="Z23" s="220">
        <f t="shared" si="5"/>
        <v>0</v>
      </c>
      <c r="AA23" s="220">
        <f t="shared" si="5"/>
        <v>0</v>
      </c>
      <c r="AB23" s="210">
        <f t="shared" si="6"/>
        <v>0</v>
      </c>
      <c r="AC23" s="221"/>
      <c r="AD23" s="213"/>
    </row>
    <row r="24" spans="1:30" ht="15.75">
      <c r="A24" s="199" t="s">
        <v>31</v>
      </c>
      <c r="B24" s="202"/>
      <c r="C24" s="226"/>
      <c r="D24" s="223"/>
      <c r="E24" s="216"/>
      <c r="F24" s="216"/>
      <c r="G24" s="210">
        <f t="shared" si="0"/>
        <v>0</v>
      </c>
      <c r="H24" s="216"/>
      <c r="I24" s="216"/>
      <c r="J24" s="216"/>
      <c r="K24" s="216"/>
      <c r="L24" s="227">
        <f t="shared" si="1"/>
        <v>0</v>
      </c>
      <c r="M24" s="219"/>
      <c r="N24" s="220"/>
      <c r="O24" s="220"/>
      <c r="P24" s="220"/>
      <c r="Q24" s="210">
        <f t="shared" si="2"/>
        <v>0</v>
      </c>
      <c r="R24" s="211">
        <f t="shared" si="3"/>
        <v>0</v>
      </c>
      <c r="S24" s="220"/>
      <c r="T24" s="220"/>
      <c r="U24" s="220"/>
      <c r="V24" s="220"/>
      <c r="W24" s="210">
        <f t="shared" si="4"/>
        <v>0</v>
      </c>
      <c r="X24" s="220">
        <f t="shared" si="7"/>
        <v>0</v>
      </c>
      <c r="Y24" s="220">
        <f t="shared" si="5"/>
        <v>0</v>
      </c>
      <c r="Z24" s="220">
        <f t="shared" si="5"/>
        <v>0</v>
      </c>
      <c r="AA24" s="220">
        <f t="shared" si="5"/>
        <v>0</v>
      </c>
      <c r="AB24" s="210">
        <f t="shared" si="6"/>
        <v>0</v>
      </c>
      <c r="AC24" s="221"/>
      <c r="AD24" s="213"/>
    </row>
    <row r="25" spans="1:30" ht="16.5" thickBot="1">
      <c r="A25" s="47"/>
      <c r="B25" s="202" t="s">
        <v>32</v>
      </c>
      <c r="C25" s="228">
        <f>C17+C21+C22+C24+C20+C23</f>
        <v>15909676.069999998</v>
      </c>
      <c r="D25" s="228">
        <f>D17+D21+D22+D24+D20+D23</f>
        <v>182251097.71000004</v>
      </c>
      <c r="E25" s="228">
        <f>E17+E21+E22+E24+E20+E23</f>
        <v>0</v>
      </c>
      <c r="F25" s="228">
        <f>F17+F21+F22+F24+F20+F23</f>
        <v>33603893.08</v>
      </c>
      <c r="G25" s="228">
        <f>G17+G21+G22+G24+G20+G23</f>
        <v>231764666.86000004</v>
      </c>
      <c r="H25" s="228">
        <f>H17+H21+H22+H24+H20+H23</f>
        <v>17398.65</v>
      </c>
      <c r="I25" s="228">
        <f>I17+I21+I22+I24+I20+I23</f>
        <v>89730109.56</v>
      </c>
      <c r="J25" s="228">
        <f>J17+J21+J22+J24+J20+J23</f>
        <v>0</v>
      </c>
      <c r="K25" s="228">
        <f>K17+K21+K22+K24+K20+K23</f>
        <v>47171595.79000001</v>
      </c>
      <c r="L25" s="228">
        <f>L17+L21+L22+L24+L20+L23</f>
        <v>136919104</v>
      </c>
      <c r="M25" s="228">
        <f>M17+M21+M22+M24+M20+M23</f>
        <v>0</v>
      </c>
      <c r="N25" s="228">
        <f>N17+N21+N22+N24+N20+N23</f>
        <v>0</v>
      </c>
      <c r="O25" s="228">
        <f>O17+O21+O22+O24+O20+O23</f>
        <v>0</v>
      </c>
      <c r="P25" s="228">
        <f>P17+P21+P22+P24+P20+P23</f>
        <v>0</v>
      </c>
      <c r="Q25" s="228">
        <f>Q17+Q21+Q22+Q24+Q20+Q23</f>
        <v>0</v>
      </c>
      <c r="R25" s="228">
        <f>R17+R21+R22+R24</f>
        <v>368683770.8600001</v>
      </c>
      <c r="S25" s="228">
        <f>S17+S21+S22+S24+S20+S23</f>
        <v>0</v>
      </c>
      <c r="T25" s="228">
        <f>T17+T21+T22+T24+T20+T23</f>
        <v>0</v>
      </c>
      <c r="U25" s="228">
        <f>U17+U21+U22+U24+U20+U23</f>
        <v>0</v>
      </c>
      <c r="V25" s="228">
        <f>V17+V21+V22+V24+V20+V23</f>
        <v>0</v>
      </c>
      <c r="W25" s="228">
        <f>W17+W21+W22+W24+W20+W23</f>
        <v>0</v>
      </c>
      <c r="X25" s="228">
        <f>X17+X21+X22+X24+X20+X23</f>
        <v>15927074.719999999</v>
      </c>
      <c r="Y25" s="228">
        <f>Y17+Y21+Y22+Y24+Y20+Y23</f>
        <v>271981207.27000004</v>
      </c>
      <c r="Z25" s="228">
        <f>Z17+Z21+Z22+Z24+Z20+Z23</f>
        <v>0</v>
      </c>
      <c r="AA25" s="228">
        <f>AA17+AA21+AA22+AA24+AA20+AA23</f>
        <v>80775488.87</v>
      </c>
      <c r="AB25" s="228">
        <f>AB17+AB21+AB22+AB24+AB20+AB23</f>
        <v>368683770.86</v>
      </c>
      <c r="AC25" s="221"/>
      <c r="AD25" s="213"/>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202" t="s">
        <v>33</v>
      </c>
      <c r="H28" s="62"/>
      <c r="I28" s="62"/>
      <c r="J28" s="62"/>
      <c r="K28" s="62"/>
      <c r="L28" s="63"/>
      <c r="M28" s="63"/>
      <c r="N28" s="63"/>
      <c r="O28" s="63"/>
      <c r="P28" s="63"/>
      <c r="Q28" s="63"/>
      <c r="R28" s="63"/>
      <c r="S28" s="64"/>
      <c r="AC28" s="65"/>
    </row>
    <row r="29" spans="1:29" ht="26.25">
      <c r="A29" s="202"/>
      <c r="C29" s="78" t="s">
        <v>62</v>
      </c>
      <c r="D29" s="78" t="s">
        <v>34</v>
      </c>
      <c r="E29" s="78" t="s">
        <v>35</v>
      </c>
      <c r="F29" s="79"/>
      <c r="G29" s="78" t="s">
        <v>36</v>
      </c>
      <c r="H29" s="62"/>
      <c r="I29" s="229"/>
      <c r="J29" s="229"/>
      <c r="K29" s="229"/>
      <c r="L29" s="236" t="s">
        <v>34</v>
      </c>
      <c r="M29" s="236"/>
      <c r="N29" s="236" t="s">
        <v>35</v>
      </c>
      <c r="O29" s="237"/>
      <c r="P29" s="236" t="s">
        <v>36</v>
      </c>
      <c r="AC29" s="65"/>
    </row>
    <row r="30" spans="1:29" ht="15.75">
      <c r="A30" s="66" t="s">
        <v>37</v>
      </c>
      <c r="C30" s="229">
        <f>SUM(C31:C36)</f>
        <v>0</v>
      </c>
      <c r="D30" s="230">
        <f>SUM(D31:D36)</f>
        <v>1264164831.19</v>
      </c>
      <c r="E30" s="230">
        <f>SUM(E31:E36)</f>
        <v>255784075.1</v>
      </c>
      <c r="F30" s="229"/>
      <c r="G30" s="230">
        <f>SUM(G31:G36)</f>
        <v>1519948906.29</v>
      </c>
      <c r="H30" s="62"/>
      <c r="I30" s="298" t="s">
        <v>52</v>
      </c>
      <c r="J30" s="238" t="s">
        <v>38</v>
      </c>
      <c r="K30" s="229"/>
      <c r="L30" s="230">
        <v>1239710785</v>
      </c>
      <c r="M30" s="231"/>
      <c r="N30" s="231">
        <f>N34+N42</f>
        <v>248712000</v>
      </c>
      <c r="O30" s="231"/>
      <c r="P30" s="230">
        <f>L30+N30</f>
        <v>1488422785</v>
      </c>
      <c r="AC30" s="65"/>
    </row>
    <row r="31" spans="1:29" ht="15.75">
      <c r="A31" s="69"/>
      <c r="B31" s="66" t="s">
        <v>39</v>
      </c>
      <c r="C31" s="231"/>
      <c r="D31" s="230">
        <v>1229678785</v>
      </c>
      <c r="E31" s="230">
        <v>248712000</v>
      </c>
      <c r="F31" s="229"/>
      <c r="G31" s="232">
        <f>C31+E31+D31</f>
        <v>1478390785</v>
      </c>
      <c r="H31" s="62"/>
      <c r="I31" s="298"/>
      <c r="J31" s="239" t="s">
        <v>40</v>
      </c>
      <c r="K31" s="229"/>
      <c r="L31" s="240">
        <v>1033646621.44</v>
      </c>
      <c r="M31" s="241"/>
      <c r="N31" s="241">
        <f>+N35+N39+N43</f>
        <v>368683770.86</v>
      </c>
      <c r="O31" s="241"/>
      <c r="P31" s="242">
        <f>L31+N31</f>
        <v>1402330392.3000002</v>
      </c>
      <c r="AC31" s="65"/>
    </row>
    <row r="32" spans="1:29" ht="16.5" thickBot="1">
      <c r="A32" s="69"/>
      <c r="B32" s="66" t="s">
        <v>67</v>
      </c>
      <c r="C32" s="229"/>
      <c r="D32" s="230"/>
      <c r="E32" s="230"/>
      <c r="F32" s="229"/>
      <c r="G32" s="233">
        <f aca="true" t="shared" si="8" ref="G32:G38">C32+E32+D32</f>
        <v>0</v>
      </c>
      <c r="H32" s="62"/>
      <c r="I32" s="298"/>
      <c r="J32" s="239" t="s">
        <v>41</v>
      </c>
      <c r="K32" s="229"/>
      <c r="L32" s="243">
        <f>L30-L31</f>
        <v>206064163.55999994</v>
      </c>
      <c r="M32" s="241"/>
      <c r="N32" s="243">
        <f>N30-N31</f>
        <v>-119971770.86000001</v>
      </c>
      <c r="O32" s="241"/>
      <c r="P32" s="244">
        <f>P30-P31</f>
        <v>86092392.69999981</v>
      </c>
      <c r="AC32" s="65"/>
    </row>
    <row r="33" spans="1:29" ht="16.5" thickTop="1">
      <c r="A33" s="69"/>
      <c r="B33" s="66" t="s">
        <v>42</v>
      </c>
      <c r="C33" s="229"/>
      <c r="D33" s="230">
        <v>34486046.19</v>
      </c>
      <c r="E33" s="230">
        <f>+AB21</f>
        <v>7072075.100000001</v>
      </c>
      <c r="F33" s="229"/>
      <c r="G33" s="232">
        <f t="shared" si="8"/>
        <v>41558121.29</v>
      </c>
      <c r="H33" s="62"/>
      <c r="I33" s="245"/>
      <c r="J33" s="239"/>
      <c r="K33" s="229"/>
      <c r="L33" s="240"/>
      <c r="M33" s="239"/>
      <c r="N33" s="239"/>
      <c r="O33" s="239"/>
      <c r="P33" s="240"/>
      <c r="R33" s="140" t="s">
        <v>58</v>
      </c>
      <c r="X33" s="140" t="s">
        <v>60</v>
      </c>
      <c r="AC33" s="65"/>
    </row>
    <row r="34" spans="1:29" ht="15" customHeight="1">
      <c r="A34" s="69"/>
      <c r="B34" s="66" t="s">
        <v>43</v>
      </c>
      <c r="C34" s="229"/>
      <c r="D34" s="229"/>
      <c r="E34" s="230"/>
      <c r="F34" s="229"/>
      <c r="G34" s="233">
        <f t="shared" si="8"/>
        <v>0</v>
      </c>
      <c r="H34" s="62"/>
      <c r="I34" s="298" t="s">
        <v>53</v>
      </c>
      <c r="J34" s="238" t="s">
        <v>38</v>
      </c>
      <c r="K34" s="229"/>
      <c r="L34" s="230">
        <v>1217080785</v>
      </c>
      <c r="M34" s="231"/>
      <c r="N34" s="231">
        <f>E31</f>
        <v>248712000</v>
      </c>
      <c r="O34" s="231"/>
      <c r="P34" s="230">
        <f>L34+N34</f>
        <v>1465792785</v>
      </c>
      <c r="AC34" s="65"/>
    </row>
    <row r="35" spans="1:29" ht="15.75">
      <c r="A35" s="69"/>
      <c r="B35" s="66" t="s">
        <v>44</v>
      </c>
      <c r="C35" s="229"/>
      <c r="D35" s="229"/>
      <c r="E35" s="229"/>
      <c r="F35" s="229"/>
      <c r="G35" s="233">
        <f t="shared" si="8"/>
        <v>0</v>
      </c>
      <c r="H35" s="62"/>
      <c r="I35" s="298"/>
      <c r="J35" s="239" t="s">
        <v>40</v>
      </c>
      <c r="K35" s="229"/>
      <c r="L35" s="240">
        <v>510031008.4</v>
      </c>
      <c r="M35" s="241"/>
      <c r="N35" s="241">
        <f>+G25</f>
        <v>231764666.86000004</v>
      </c>
      <c r="O35" s="241"/>
      <c r="P35" s="242">
        <f>L35+N35</f>
        <v>741795675.26</v>
      </c>
      <c r="AC35" s="65"/>
    </row>
    <row r="36" spans="1:29" ht="16.5" thickBot="1">
      <c r="A36" s="69"/>
      <c r="B36" s="66" t="s">
        <v>45</v>
      </c>
      <c r="C36" s="229"/>
      <c r="D36" s="229"/>
      <c r="E36" s="229"/>
      <c r="F36" s="229"/>
      <c r="G36" s="233">
        <f t="shared" si="8"/>
        <v>0</v>
      </c>
      <c r="H36" s="62"/>
      <c r="I36" s="298"/>
      <c r="J36" s="239" t="s">
        <v>41</v>
      </c>
      <c r="K36" s="229"/>
      <c r="L36" s="243">
        <f>L34-L35</f>
        <v>707049776.6</v>
      </c>
      <c r="M36" s="241"/>
      <c r="N36" s="246">
        <f>N34-N35</f>
        <v>16947333.139999956</v>
      </c>
      <c r="O36" s="241"/>
      <c r="P36" s="244">
        <f>P34-P35</f>
        <v>723997109.74</v>
      </c>
      <c r="AC36" s="65"/>
    </row>
    <row r="37" spans="1:29" ht="16.5" thickTop="1">
      <c r="A37" s="74" t="s">
        <v>46</v>
      </c>
      <c r="B37" s="66"/>
      <c r="C37" s="229"/>
      <c r="D37" s="229"/>
      <c r="E37" s="229"/>
      <c r="F37" s="229"/>
      <c r="G37" s="233">
        <f t="shared" si="8"/>
        <v>0</v>
      </c>
      <c r="H37" s="62"/>
      <c r="I37" s="245"/>
      <c r="J37" s="239"/>
      <c r="K37" s="229"/>
      <c r="L37" s="240"/>
      <c r="M37" s="239"/>
      <c r="N37" s="239"/>
      <c r="O37" s="239"/>
      <c r="P37" s="240"/>
      <c r="R37" s="140" t="s">
        <v>81</v>
      </c>
      <c r="X37" s="259" t="s">
        <v>90</v>
      </c>
      <c r="Y37" s="259"/>
      <c r="AB37" s="64"/>
      <c r="AC37" s="65"/>
    </row>
    <row r="38" spans="1:29" ht="15" customHeight="1">
      <c r="A38" s="74" t="s">
        <v>47</v>
      </c>
      <c r="B38" s="66"/>
      <c r="C38" s="229"/>
      <c r="D38" s="229"/>
      <c r="E38" s="229"/>
      <c r="F38" s="229"/>
      <c r="G38" s="233">
        <f t="shared" si="8"/>
        <v>0</v>
      </c>
      <c r="H38" s="62"/>
      <c r="I38" s="298" t="s">
        <v>54</v>
      </c>
      <c r="J38" s="238" t="s">
        <v>38</v>
      </c>
      <c r="K38" s="229"/>
      <c r="L38" s="230"/>
      <c r="M38" s="231"/>
      <c r="N38" s="231"/>
      <c r="O38" s="231"/>
      <c r="P38" s="230">
        <f>L38+N38</f>
        <v>0</v>
      </c>
      <c r="R38" s="258" t="s">
        <v>59</v>
      </c>
      <c r="S38" s="258"/>
      <c r="X38" s="258" t="s">
        <v>128</v>
      </c>
      <c r="Y38" s="258"/>
      <c r="AB38" s="64"/>
      <c r="AC38" s="65"/>
    </row>
    <row r="39" spans="2:29" ht="15.75">
      <c r="B39" s="74" t="s">
        <v>65</v>
      </c>
      <c r="C39" s="229"/>
      <c r="D39" s="229"/>
      <c r="E39" s="229"/>
      <c r="F39" s="229"/>
      <c r="G39" s="233">
        <f>C39+E39+D39</f>
        <v>0</v>
      </c>
      <c r="H39" s="62"/>
      <c r="I39" s="298"/>
      <c r="J39" s="239" t="s">
        <v>40</v>
      </c>
      <c r="K39" s="229"/>
      <c r="L39" s="241">
        <f>+O25</f>
        <v>0</v>
      </c>
      <c r="M39" s="241"/>
      <c r="N39" s="241">
        <f>+Q25</f>
        <v>0</v>
      </c>
      <c r="O39" s="241"/>
      <c r="P39" s="241">
        <f>+S25</f>
        <v>0</v>
      </c>
      <c r="AB39" s="64"/>
      <c r="AC39" s="65"/>
    </row>
    <row r="40" spans="2:29" ht="16.5" thickBot="1">
      <c r="B40" s="74" t="s">
        <v>66</v>
      </c>
      <c r="C40" s="229"/>
      <c r="D40" s="229"/>
      <c r="E40" s="229"/>
      <c r="F40" s="229"/>
      <c r="G40" s="233">
        <f>C40+E40+D40</f>
        <v>0</v>
      </c>
      <c r="H40" s="62"/>
      <c r="I40" s="298"/>
      <c r="J40" s="239" t="s">
        <v>41</v>
      </c>
      <c r="K40" s="229"/>
      <c r="L40" s="246">
        <f>L38-L39</f>
        <v>0</v>
      </c>
      <c r="M40" s="241"/>
      <c r="N40" s="246">
        <f>N38-N39</f>
        <v>0</v>
      </c>
      <c r="O40" s="241"/>
      <c r="P40" s="246">
        <f>P38-P39</f>
        <v>0</v>
      </c>
      <c r="AB40" s="64"/>
      <c r="AC40" s="65"/>
    </row>
    <row r="41" spans="1:29" ht="16.5" thickTop="1">
      <c r="A41" s="66" t="s">
        <v>48</v>
      </c>
      <c r="B41" s="66"/>
      <c r="C41" s="229">
        <f>C30-C37+C38-C39+C40</f>
        <v>0</v>
      </c>
      <c r="D41" s="230">
        <f>D30-D37+D38-D39+D40</f>
        <v>1264164831.19</v>
      </c>
      <c r="E41" s="230">
        <f>E30-E37+E38-E39+E40</f>
        <v>255784075.1</v>
      </c>
      <c r="F41" s="229"/>
      <c r="G41" s="230">
        <f>G30-G37+G38-G39+G40</f>
        <v>1519948906.29</v>
      </c>
      <c r="H41" s="62"/>
      <c r="I41" s="245"/>
      <c r="J41" s="239"/>
      <c r="K41" s="229"/>
      <c r="L41" s="240"/>
      <c r="M41" s="239"/>
      <c r="N41" s="239"/>
      <c r="O41" s="239"/>
      <c r="P41" s="240"/>
      <c r="AB41" s="64"/>
      <c r="AC41" s="65"/>
    </row>
    <row r="42" spans="1:29" ht="15" customHeight="1">
      <c r="A42" s="74" t="s">
        <v>51</v>
      </c>
      <c r="B42" s="66"/>
      <c r="C42" s="229"/>
      <c r="D42" s="230">
        <f>+'101 oct'!G42</f>
        <v>851827.52</v>
      </c>
      <c r="E42" s="230">
        <f>115592690.47+1170000+3996</f>
        <v>116766686.47</v>
      </c>
      <c r="F42" s="229"/>
      <c r="G42" s="232">
        <f>C42+E42+D42</f>
        <v>117618513.99</v>
      </c>
      <c r="H42" s="62"/>
      <c r="I42" s="298" t="s">
        <v>55</v>
      </c>
      <c r="J42" s="238" t="s">
        <v>38</v>
      </c>
      <c r="K42" s="229"/>
      <c r="L42" s="230">
        <f>+'101 oct'!P42</f>
        <v>22630000</v>
      </c>
      <c r="M42" s="231"/>
      <c r="N42" s="231">
        <v>0</v>
      </c>
      <c r="O42" s="231"/>
      <c r="P42" s="230">
        <f>L42+N42</f>
        <v>22630000</v>
      </c>
      <c r="AB42" s="64"/>
      <c r="AC42" s="65"/>
    </row>
    <row r="43" spans="1:29" ht="15.75">
      <c r="A43" s="69"/>
      <c r="B43" s="66" t="s">
        <v>49</v>
      </c>
      <c r="C43" s="229"/>
      <c r="D43" s="230">
        <v>1033646621.44</v>
      </c>
      <c r="E43" s="230">
        <f>AB25</f>
        <v>368683770.86</v>
      </c>
      <c r="F43" s="229"/>
      <c r="G43" s="232">
        <f>C43+E43+D43</f>
        <v>1402330392.3000002</v>
      </c>
      <c r="H43" s="62"/>
      <c r="I43" s="298"/>
      <c r="J43" s="239" t="s">
        <v>40</v>
      </c>
      <c r="K43" s="229"/>
      <c r="L43" s="240">
        <v>523615613.04</v>
      </c>
      <c r="M43" s="241"/>
      <c r="N43" s="241">
        <f>+L25</f>
        <v>136919104</v>
      </c>
      <c r="O43" s="241"/>
      <c r="P43" s="242">
        <f>L43+N43</f>
        <v>660534717.04</v>
      </c>
      <c r="AB43" s="64"/>
      <c r="AC43" s="65"/>
    </row>
    <row r="44" spans="1:29" ht="16.5" thickBot="1">
      <c r="A44" s="74" t="s">
        <v>50</v>
      </c>
      <c r="B44" s="49"/>
      <c r="C44" s="234">
        <f>C41-C42-C43</f>
        <v>0</v>
      </c>
      <c r="D44" s="234">
        <f>D41-D42-D43</f>
        <v>229666382.23000002</v>
      </c>
      <c r="E44" s="235">
        <f>E41-E42-E43</f>
        <v>-229666382.23000002</v>
      </c>
      <c r="F44" s="229"/>
      <c r="G44" s="234">
        <f>G41-G42-G43</f>
        <v>0</v>
      </c>
      <c r="H44" s="62"/>
      <c r="I44" s="298"/>
      <c r="J44" s="239" t="s">
        <v>41</v>
      </c>
      <c r="K44" s="229"/>
      <c r="L44" s="243">
        <f>L42-L43</f>
        <v>-500985613.04</v>
      </c>
      <c r="M44" s="241"/>
      <c r="N44" s="243">
        <f>N42-N43</f>
        <v>-136919104</v>
      </c>
      <c r="O44" s="241"/>
      <c r="P44" s="244">
        <f>P42-P43</f>
        <v>-637904717.04</v>
      </c>
      <c r="AB44" s="64"/>
      <c r="AC44" s="65"/>
    </row>
    <row r="45" spans="1:16" ht="16.5" thickTop="1">
      <c r="A45" s="69"/>
      <c r="B45" s="49"/>
      <c r="C45" s="62"/>
      <c r="D45" s="62"/>
      <c r="E45" s="62"/>
      <c r="F45" s="62"/>
      <c r="G45" s="63"/>
      <c r="I45" s="247"/>
      <c r="J45" s="247"/>
      <c r="K45" s="247"/>
      <c r="L45" s="247"/>
      <c r="M45" s="247"/>
      <c r="N45" s="247"/>
      <c r="O45" s="247"/>
      <c r="P45" s="247"/>
    </row>
    <row r="46" spans="1:16" ht="15.75">
      <c r="A46" s="69"/>
      <c r="B46" s="202" t="s">
        <v>64</v>
      </c>
      <c r="C46" s="62"/>
      <c r="D46" s="62"/>
      <c r="E46" s="62"/>
      <c r="F46" s="62"/>
      <c r="G46" s="63"/>
      <c r="I46" s="247"/>
      <c r="J46" s="247"/>
      <c r="K46" s="247"/>
      <c r="L46" s="247"/>
      <c r="M46" s="247"/>
      <c r="N46" s="247"/>
      <c r="O46" s="247"/>
      <c r="P46" s="247"/>
    </row>
    <row r="47" spans="2:16" ht="15.75">
      <c r="B47" s="141" t="s">
        <v>69</v>
      </c>
      <c r="I47" s="247"/>
      <c r="J47" s="247"/>
      <c r="K47" s="247"/>
      <c r="L47" s="247"/>
      <c r="M47" s="247"/>
      <c r="N47" s="247"/>
      <c r="O47" s="247"/>
      <c r="P47" s="247"/>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row r="56" ht="15.75">
      <c r="B56" s="190" t="s">
        <v>109</v>
      </c>
    </row>
    <row r="61" spans="1:12" ht="15.75">
      <c r="A61" s="65"/>
      <c r="B61" s="65"/>
      <c r="C61" s="64"/>
      <c r="D61" s="64"/>
      <c r="E61" s="64"/>
      <c r="F61" s="64"/>
      <c r="G61" s="64"/>
      <c r="H61" s="64"/>
      <c r="I61" s="64"/>
      <c r="J61" s="64"/>
      <c r="K61" s="64"/>
      <c r="L61" s="64"/>
    </row>
    <row r="62" spans="1:12" ht="15.75">
      <c r="A62" s="65"/>
      <c r="B62" s="65"/>
      <c r="C62" s="64"/>
      <c r="D62" s="64"/>
      <c r="E62" s="64"/>
      <c r="F62" s="64"/>
      <c r="G62" s="64"/>
      <c r="H62" s="64"/>
      <c r="I62" s="64"/>
      <c r="J62" s="64"/>
      <c r="K62" s="64"/>
      <c r="L62" s="64"/>
    </row>
    <row r="63" spans="1:12" ht="15.75">
      <c r="A63" s="65"/>
      <c r="B63" s="172"/>
      <c r="C63" s="64"/>
      <c r="D63" s="64"/>
      <c r="E63" s="64"/>
      <c r="F63" s="64"/>
      <c r="G63" s="64"/>
      <c r="H63" s="64"/>
      <c r="I63" s="64"/>
      <c r="J63" s="64"/>
      <c r="K63" s="64"/>
      <c r="L63" s="64"/>
    </row>
    <row r="64" spans="1:12" ht="15.75">
      <c r="A64" s="65"/>
      <c r="B64" s="172"/>
      <c r="C64" s="64"/>
      <c r="D64" s="64"/>
      <c r="E64" s="64"/>
      <c r="F64" s="64"/>
      <c r="G64" s="64"/>
      <c r="H64" s="64"/>
      <c r="I64" s="64"/>
      <c r="J64" s="64"/>
      <c r="K64" s="64"/>
      <c r="L64" s="64"/>
    </row>
    <row r="65" spans="1:12" ht="15.75">
      <c r="A65" s="65"/>
      <c r="B65" s="172"/>
      <c r="C65" s="64"/>
      <c r="D65" s="64"/>
      <c r="E65" s="64"/>
      <c r="F65" s="64"/>
      <c r="G65" s="64"/>
      <c r="H65" s="64"/>
      <c r="I65" s="64"/>
      <c r="J65" s="64"/>
      <c r="K65" s="64"/>
      <c r="L65" s="64"/>
    </row>
    <row r="66" spans="1:12" ht="15.75">
      <c r="A66" s="65"/>
      <c r="B66" s="172"/>
      <c r="C66" s="64"/>
      <c r="D66" s="64"/>
      <c r="E66" s="64"/>
      <c r="F66" s="64"/>
      <c r="G66" s="64"/>
      <c r="H66" s="64"/>
      <c r="I66" s="64"/>
      <c r="J66" s="64"/>
      <c r="K66" s="64"/>
      <c r="L66" s="64"/>
    </row>
    <row r="67" spans="1:12" ht="15.75">
      <c r="A67" s="65"/>
      <c r="B67" s="172"/>
      <c r="C67" s="64"/>
      <c r="D67" s="64"/>
      <c r="E67" s="64"/>
      <c r="F67" s="64"/>
      <c r="G67" s="64"/>
      <c r="H67" s="64"/>
      <c r="I67" s="64"/>
      <c r="J67" s="64"/>
      <c r="K67" s="64"/>
      <c r="L67" s="64"/>
    </row>
    <row r="68" spans="1:12" ht="15.75">
      <c r="A68" s="65"/>
      <c r="B68" s="172"/>
      <c r="C68" s="64"/>
      <c r="D68" s="64"/>
      <c r="E68" s="64"/>
      <c r="F68" s="64"/>
      <c r="G68" s="64"/>
      <c r="H68" s="64"/>
      <c r="I68" s="64"/>
      <c r="J68" s="64"/>
      <c r="K68" s="64"/>
      <c r="L68" s="64"/>
    </row>
    <row r="69" spans="1:12" ht="15.75">
      <c r="A69" s="65"/>
      <c r="B69" s="172"/>
      <c r="C69" s="64"/>
      <c r="D69" s="64"/>
      <c r="E69" s="64"/>
      <c r="F69" s="64"/>
      <c r="G69" s="64"/>
      <c r="H69" s="64"/>
      <c r="I69" s="64"/>
      <c r="J69" s="64"/>
      <c r="K69" s="64"/>
      <c r="L69" s="64"/>
    </row>
    <row r="70" spans="1:12" ht="15.75">
      <c r="A70" s="65"/>
      <c r="B70" s="172"/>
      <c r="C70" s="64"/>
      <c r="D70" s="64"/>
      <c r="E70" s="64"/>
      <c r="F70" s="64"/>
      <c r="G70" s="64"/>
      <c r="H70" s="64"/>
      <c r="I70" s="64"/>
      <c r="J70" s="64"/>
      <c r="K70" s="64"/>
      <c r="L70" s="64"/>
    </row>
    <row r="71" spans="1:12" ht="15.75">
      <c r="A71" s="65"/>
      <c r="B71" s="172"/>
      <c r="C71" s="64"/>
      <c r="D71" s="64"/>
      <c r="E71" s="64"/>
      <c r="F71" s="64"/>
      <c r="G71" s="64"/>
      <c r="H71" s="64"/>
      <c r="I71" s="64"/>
      <c r="J71" s="64"/>
      <c r="K71" s="64"/>
      <c r="L71" s="64"/>
    </row>
    <row r="72" spans="1:12" ht="15.75">
      <c r="A72" s="65"/>
      <c r="B72" s="172"/>
      <c r="C72" s="64"/>
      <c r="D72" s="64"/>
      <c r="E72" s="64"/>
      <c r="F72" s="64"/>
      <c r="G72" s="64"/>
      <c r="H72" s="64"/>
      <c r="I72" s="64"/>
      <c r="J72" s="64"/>
      <c r="K72" s="64"/>
      <c r="L72" s="64"/>
    </row>
    <row r="73" spans="1:12" ht="15.75">
      <c r="A73" s="65"/>
      <c r="B73" s="172"/>
      <c r="C73" s="172"/>
      <c r="D73" s="64"/>
      <c r="E73" s="64"/>
      <c r="F73" s="64"/>
      <c r="G73" s="64"/>
      <c r="H73" s="64"/>
      <c r="I73" s="64"/>
      <c r="J73" s="64"/>
      <c r="K73" s="64"/>
      <c r="L73" s="64"/>
    </row>
    <row r="74" spans="1:12" ht="15.75">
      <c r="A74" s="65"/>
      <c r="B74" s="172"/>
      <c r="C74" s="64"/>
      <c r="D74" s="64"/>
      <c r="E74" s="64"/>
      <c r="F74" s="64"/>
      <c r="G74" s="64"/>
      <c r="H74" s="64"/>
      <c r="I74" s="64"/>
      <c r="J74" s="64"/>
      <c r="K74" s="64"/>
      <c r="L74" s="64"/>
    </row>
    <row r="75" spans="1:12" ht="15.75">
      <c r="A75" s="65"/>
      <c r="B75" s="172"/>
      <c r="C75" s="64"/>
      <c r="D75" s="64"/>
      <c r="E75" s="64"/>
      <c r="F75" s="64"/>
      <c r="G75" s="64"/>
      <c r="H75" s="64"/>
      <c r="I75" s="64"/>
      <c r="J75" s="64"/>
      <c r="K75" s="64"/>
      <c r="L75" s="64"/>
    </row>
    <row r="76" spans="1:12" ht="15.75">
      <c r="A76" s="65"/>
      <c r="B76" s="172"/>
      <c r="C76" s="64"/>
      <c r="D76" s="64"/>
      <c r="E76" s="64"/>
      <c r="F76" s="64"/>
      <c r="G76" s="64"/>
      <c r="H76" s="64"/>
      <c r="I76" s="64"/>
      <c r="J76" s="64"/>
      <c r="K76" s="64"/>
      <c r="L76" s="64"/>
    </row>
    <row r="77" spans="1:12" ht="15.75">
      <c r="A77" s="65"/>
      <c r="B77" s="65"/>
      <c r="C77" s="64"/>
      <c r="D77" s="64"/>
      <c r="E77" s="64"/>
      <c r="F77" s="64"/>
      <c r="G77" s="64"/>
      <c r="H77" s="64"/>
      <c r="I77" s="64"/>
      <c r="J77" s="64"/>
      <c r="K77" s="64"/>
      <c r="L77" s="64"/>
    </row>
    <row r="78" spans="1:12" ht="15.75">
      <c r="A78" s="65"/>
      <c r="B78" s="65"/>
      <c r="C78" s="64"/>
      <c r="D78" s="64"/>
      <c r="E78" s="64"/>
      <c r="F78" s="64"/>
      <c r="G78" s="64"/>
      <c r="H78" s="64"/>
      <c r="I78" s="64"/>
      <c r="J78" s="64"/>
      <c r="K78" s="64"/>
      <c r="L78" s="64"/>
    </row>
    <row r="79" spans="1:12" ht="15.75">
      <c r="A79" s="65"/>
      <c r="B79" s="65"/>
      <c r="C79" s="64"/>
      <c r="D79" s="64"/>
      <c r="E79" s="64"/>
      <c r="F79" s="64"/>
      <c r="G79" s="64"/>
      <c r="H79" s="64"/>
      <c r="I79" s="64"/>
      <c r="J79" s="64"/>
      <c r="K79" s="64"/>
      <c r="L79" s="64"/>
    </row>
    <row r="80" spans="1:12" ht="15.75">
      <c r="A80" s="65"/>
      <c r="B80" s="65"/>
      <c r="C80" s="64"/>
      <c r="D80" s="64"/>
      <c r="E80" s="64"/>
      <c r="F80" s="64"/>
      <c r="G80" s="64"/>
      <c r="H80" s="64"/>
      <c r="I80" s="64"/>
      <c r="J80" s="64"/>
      <c r="K80" s="64"/>
      <c r="L80" s="64"/>
    </row>
    <row r="81" spans="1:12" ht="15.75">
      <c r="A81" s="65"/>
      <c r="B81" s="65"/>
      <c r="C81" s="64"/>
      <c r="D81" s="64"/>
      <c r="E81" s="64"/>
      <c r="F81" s="64"/>
      <c r="G81" s="64"/>
      <c r="H81" s="64"/>
      <c r="I81" s="64"/>
      <c r="J81" s="64"/>
      <c r="K81" s="64"/>
      <c r="L81" s="64"/>
    </row>
    <row r="82" spans="2:10" ht="15.75">
      <c r="B82" s="65"/>
      <c r="C82" s="64"/>
      <c r="D82" s="64"/>
      <c r="E82" s="64"/>
      <c r="F82" s="64"/>
      <c r="G82" s="64"/>
      <c r="H82" s="64"/>
      <c r="I82" s="64"/>
      <c r="J82" s="64"/>
    </row>
    <row r="83" spans="2:10" ht="15.75">
      <c r="B83" s="65"/>
      <c r="C83" s="64"/>
      <c r="D83" s="64"/>
      <c r="E83" s="64"/>
      <c r="F83" s="64"/>
      <c r="G83" s="64"/>
      <c r="H83" s="64"/>
      <c r="I83" s="64"/>
      <c r="J83" s="64"/>
    </row>
    <row r="84" spans="2:10" ht="15.75">
      <c r="B84" s="65"/>
      <c r="C84" s="64"/>
      <c r="D84" s="64"/>
      <c r="E84" s="64"/>
      <c r="F84" s="64"/>
      <c r="G84" s="64"/>
      <c r="H84" s="64"/>
      <c r="I84" s="64"/>
      <c r="J84" s="64"/>
    </row>
    <row r="85" spans="2:10" ht="15.75">
      <c r="B85" s="65"/>
      <c r="C85" s="64"/>
      <c r="D85" s="64"/>
      <c r="E85" s="64"/>
      <c r="F85" s="64"/>
      <c r="G85" s="64"/>
      <c r="H85" s="64"/>
      <c r="I85" s="64"/>
      <c r="J85" s="64"/>
    </row>
    <row r="86" spans="2:10" ht="15.75">
      <c r="B86" s="65"/>
      <c r="C86" s="64"/>
      <c r="D86" s="64"/>
      <c r="E86" s="64"/>
      <c r="F86" s="64"/>
      <c r="G86" s="64"/>
      <c r="H86" s="64"/>
      <c r="I86" s="64"/>
      <c r="J86" s="64"/>
    </row>
    <row r="87" spans="2:10" ht="15.75">
      <c r="B87" s="65"/>
      <c r="C87" s="64"/>
      <c r="D87" s="64"/>
      <c r="E87" s="64"/>
      <c r="F87" s="64"/>
      <c r="G87" s="64"/>
      <c r="H87" s="64"/>
      <c r="I87" s="64"/>
      <c r="J87" s="64"/>
    </row>
    <row r="88" spans="2:10" ht="15.75">
      <c r="B88" s="65"/>
      <c r="C88" s="64"/>
      <c r="D88" s="64"/>
      <c r="E88" s="64"/>
      <c r="F88" s="64"/>
      <c r="G88" s="64"/>
      <c r="H88" s="64"/>
      <c r="I88" s="64"/>
      <c r="J88" s="64"/>
    </row>
    <row r="89" spans="2:10" ht="15.75">
      <c r="B89" s="65"/>
      <c r="C89" s="64"/>
      <c r="D89" s="64"/>
      <c r="E89" s="64"/>
      <c r="F89" s="64"/>
      <c r="G89" s="64"/>
      <c r="H89" s="64"/>
      <c r="I89" s="64"/>
      <c r="J89" s="64"/>
    </row>
    <row r="90" spans="2:10" ht="15.75">
      <c r="B90" s="65"/>
      <c r="C90" s="64"/>
      <c r="D90" s="64"/>
      <c r="E90" s="64"/>
      <c r="F90" s="64"/>
      <c r="G90" s="64"/>
      <c r="H90" s="64"/>
      <c r="I90" s="64"/>
      <c r="J90" s="64"/>
    </row>
    <row r="91" spans="2:10" ht="15.75">
      <c r="B91" s="65"/>
      <c r="C91" s="64"/>
      <c r="D91" s="64"/>
      <c r="E91" s="64"/>
      <c r="F91" s="64"/>
      <c r="G91" s="64"/>
      <c r="H91" s="64"/>
      <c r="I91" s="64"/>
      <c r="J91" s="64"/>
    </row>
    <row r="92" spans="2:10" ht="15.75">
      <c r="B92" s="65"/>
      <c r="C92" s="64"/>
      <c r="D92" s="64"/>
      <c r="E92" s="64"/>
      <c r="F92" s="64"/>
      <c r="G92" s="64"/>
      <c r="H92" s="64"/>
      <c r="I92" s="64"/>
      <c r="J92" s="64"/>
    </row>
    <row r="93" spans="2:10" ht="15.75">
      <c r="B93" s="65"/>
      <c r="C93" s="64"/>
      <c r="D93" s="64"/>
      <c r="E93" s="64"/>
      <c r="F93" s="64"/>
      <c r="G93" s="64"/>
      <c r="H93" s="64"/>
      <c r="I93" s="64"/>
      <c r="J93" s="64"/>
    </row>
    <row r="94" spans="2:10" ht="15.75">
      <c r="B94" s="65"/>
      <c r="C94" s="64"/>
      <c r="D94" s="64"/>
      <c r="E94" s="64"/>
      <c r="F94" s="64"/>
      <c r="G94" s="64"/>
      <c r="H94" s="64"/>
      <c r="I94" s="64"/>
      <c r="J94" s="64"/>
    </row>
    <row r="95" spans="2:10" ht="15.75">
      <c r="B95" s="65"/>
      <c r="C95" s="64"/>
      <c r="D95" s="64"/>
      <c r="E95" s="64"/>
      <c r="F95" s="64"/>
      <c r="G95" s="64"/>
      <c r="H95" s="64"/>
      <c r="I95" s="64"/>
      <c r="J95" s="64"/>
    </row>
    <row r="96" spans="2:10" ht="15.75">
      <c r="B96" s="65"/>
      <c r="C96" s="64"/>
      <c r="D96" s="64"/>
      <c r="E96" s="64"/>
      <c r="F96" s="64"/>
      <c r="G96" s="64"/>
      <c r="H96" s="64"/>
      <c r="I96" s="64"/>
      <c r="J96" s="64"/>
    </row>
    <row r="97" spans="2:10" ht="15.75">
      <c r="B97" s="65"/>
      <c r="C97" s="64"/>
      <c r="D97" s="64"/>
      <c r="E97" s="64"/>
      <c r="F97" s="64"/>
      <c r="G97" s="64"/>
      <c r="H97" s="64"/>
      <c r="I97" s="64"/>
      <c r="J97" s="64"/>
    </row>
    <row r="98" spans="2:10" ht="15.75">
      <c r="B98" s="65"/>
      <c r="C98" s="64"/>
      <c r="D98" s="64"/>
      <c r="E98" s="64"/>
      <c r="F98" s="64"/>
      <c r="G98" s="64"/>
      <c r="H98" s="64"/>
      <c r="I98" s="64"/>
      <c r="J98" s="64"/>
    </row>
    <row r="99" spans="2:10" ht="15.75">
      <c r="B99" s="65"/>
      <c r="C99" s="64"/>
      <c r="D99" s="64"/>
      <c r="E99" s="64"/>
      <c r="F99" s="64"/>
      <c r="G99" s="64"/>
      <c r="H99" s="64"/>
      <c r="I99" s="64"/>
      <c r="J99" s="64"/>
    </row>
    <row r="100" spans="2:10" ht="15.75">
      <c r="B100" s="65"/>
      <c r="C100" s="64"/>
      <c r="D100" s="64"/>
      <c r="E100" s="64"/>
      <c r="F100" s="64"/>
      <c r="G100" s="64"/>
      <c r="H100" s="64"/>
      <c r="I100" s="64"/>
      <c r="J100" s="64"/>
    </row>
    <row r="101" spans="2:10" ht="15.75">
      <c r="B101" s="65"/>
      <c r="C101" s="64"/>
      <c r="D101" s="64"/>
      <c r="E101" s="64"/>
      <c r="F101" s="64"/>
      <c r="G101" s="64"/>
      <c r="H101" s="64"/>
      <c r="I101" s="64"/>
      <c r="J101" s="64"/>
    </row>
    <row r="102" spans="2:10" ht="15.75">
      <c r="B102" s="65"/>
      <c r="C102" s="64"/>
      <c r="D102" s="64"/>
      <c r="E102" s="64"/>
      <c r="F102" s="64"/>
      <c r="G102" s="64"/>
      <c r="H102" s="64"/>
      <c r="I102" s="64"/>
      <c r="J102" s="64"/>
    </row>
    <row r="103" spans="2:10" ht="15.75">
      <c r="B103" s="65"/>
      <c r="C103" s="64"/>
      <c r="D103" s="64"/>
      <c r="E103" s="64"/>
      <c r="F103" s="64"/>
      <c r="G103" s="64"/>
      <c r="H103" s="64"/>
      <c r="I103" s="64"/>
      <c r="J103" s="64"/>
    </row>
    <row r="104" spans="2:10" ht="15.75">
      <c r="B104" s="65"/>
      <c r="C104" s="64"/>
      <c r="D104" s="64"/>
      <c r="E104" s="64"/>
      <c r="F104" s="64"/>
      <c r="G104" s="64"/>
      <c r="H104" s="64"/>
      <c r="I104" s="64"/>
      <c r="J104" s="64"/>
    </row>
    <row r="105" spans="2:10" ht="15.75">
      <c r="B105" s="65"/>
      <c r="C105" s="64"/>
      <c r="D105" s="64"/>
      <c r="E105" s="64"/>
      <c r="F105" s="64"/>
      <c r="G105" s="64"/>
      <c r="H105" s="64"/>
      <c r="I105" s="64"/>
      <c r="J105" s="64"/>
    </row>
    <row r="106" spans="2:10" ht="15.75">
      <c r="B106" s="65"/>
      <c r="C106" s="64"/>
      <c r="D106" s="64"/>
      <c r="E106" s="64"/>
      <c r="F106" s="64"/>
      <c r="G106" s="64"/>
      <c r="H106" s="64"/>
      <c r="I106" s="64"/>
      <c r="J106" s="64"/>
    </row>
    <row r="107" spans="2:10" ht="15.75">
      <c r="B107" s="65"/>
      <c r="C107" s="64"/>
      <c r="D107" s="64"/>
      <c r="E107" s="64"/>
      <c r="F107" s="64"/>
      <c r="G107" s="64"/>
      <c r="H107" s="64"/>
      <c r="I107" s="64"/>
      <c r="J107" s="64"/>
    </row>
    <row r="108" spans="2:10" ht="15.75">
      <c r="B108" s="65"/>
      <c r="C108" s="64"/>
      <c r="D108" s="64"/>
      <c r="E108" s="64"/>
      <c r="F108" s="64"/>
      <c r="G108" s="64"/>
      <c r="H108" s="64"/>
      <c r="I108" s="64"/>
      <c r="J108" s="64"/>
    </row>
    <row r="109" spans="2:10" ht="15.75">
      <c r="B109" s="65"/>
      <c r="C109" s="64"/>
      <c r="D109" s="64"/>
      <c r="E109" s="64"/>
      <c r="F109" s="64"/>
      <c r="G109" s="64"/>
      <c r="H109" s="64"/>
      <c r="I109" s="64"/>
      <c r="J109" s="64"/>
    </row>
    <row r="110" spans="2:10" ht="15.75">
      <c r="B110" s="65"/>
      <c r="C110" s="64"/>
      <c r="D110" s="64"/>
      <c r="E110" s="64"/>
      <c r="F110" s="64"/>
      <c r="G110" s="64"/>
      <c r="H110" s="64"/>
      <c r="I110" s="64"/>
      <c r="J110" s="64"/>
    </row>
    <row r="111" spans="2:10" ht="15.75">
      <c r="B111" s="65"/>
      <c r="C111" s="64"/>
      <c r="D111" s="64"/>
      <c r="E111" s="64"/>
      <c r="F111" s="64"/>
      <c r="G111" s="64"/>
      <c r="H111" s="64"/>
      <c r="I111" s="64"/>
      <c r="J111" s="64"/>
    </row>
    <row r="112" spans="2:10" ht="15.75">
      <c r="B112" s="65"/>
      <c r="C112" s="64"/>
      <c r="D112" s="64"/>
      <c r="E112" s="64"/>
      <c r="F112" s="64"/>
      <c r="G112" s="64"/>
      <c r="H112" s="64"/>
      <c r="I112" s="64"/>
      <c r="J112" s="64"/>
    </row>
    <row r="113" spans="2:10" ht="15.75">
      <c r="B113" s="65"/>
      <c r="C113" s="64"/>
      <c r="D113" s="64"/>
      <c r="E113" s="64"/>
      <c r="F113" s="64"/>
      <c r="G113" s="64"/>
      <c r="H113" s="64"/>
      <c r="I113" s="64"/>
      <c r="J113" s="64"/>
    </row>
    <row r="114" spans="2:10" ht="15.75">
      <c r="B114" s="65"/>
      <c r="C114" s="64"/>
      <c r="D114" s="64"/>
      <c r="E114" s="64"/>
      <c r="F114" s="64"/>
      <c r="G114" s="64"/>
      <c r="H114" s="64"/>
      <c r="I114" s="64"/>
      <c r="J114" s="64"/>
    </row>
    <row r="115" spans="2:10" ht="15.75">
      <c r="B115" s="65"/>
      <c r="C115" s="64"/>
      <c r="D115" s="64"/>
      <c r="E115" s="64"/>
      <c r="F115" s="64"/>
      <c r="G115" s="64"/>
      <c r="H115" s="64"/>
      <c r="I115" s="64"/>
      <c r="J115" s="64"/>
    </row>
    <row r="116" spans="2:10" ht="15.75">
      <c r="B116" s="65"/>
      <c r="C116" s="64"/>
      <c r="D116" s="64"/>
      <c r="E116" s="64"/>
      <c r="F116" s="64"/>
      <c r="G116" s="64"/>
      <c r="H116" s="64"/>
      <c r="I116" s="64"/>
      <c r="J116" s="64"/>
    </row>
    <row r="117" spans="2:10" ht="15.75">
      <c r="B117" s="65"/>
      <c r="C117" s="64"/>
      <c r="D117" s="64"/>
      <c r="E117" s="64"/>
      <c r="F117" s="64"/>
      <c r="G117" s="64"/>
      <c r="H117" s="64"/>
      <c r="I117" s="64"/>
      <c r="J117" s="64"/>
    </row>
  </sheetData>
  <sheetProtection/>
  <mergeCells count="29">
    <mergeCell ref="A16:B16"/>
    <mergeCell ref="A17:B17"/>
    <mergeCell ref="A18:B18"/>
    <mergeCell ref="I30:I32"/>
    <mergeCell ref="I34:I36"/>
    <mergeCell ref="X15:AB15"/>
    <mergeCell ref="I38:I40"/>
    <mergeCell ref="R38:S38"/>
    <mergeCell ref="X38:Y38"/>
    <mergeCell ref="I42:I44"/>
    <mergeCell ref="X37:Y37"/>
    <mergeCell ref="A15:B15"/>
    <mergeCell ref="C15:G15"/>
    <mergeCell ref="H15:L15"/>
    <mergeCell ref="M15:Q15"/>
    <mergeCell ref="S15:W15"/>
    <mergeCell ref="AB1:AC1"/>
    <mergeCell ref="A2:AC2"/>
    <mergeCell ref="A3:AC3"/>
    <mergeCell ref="A4:AC4"/>
    <mergeCell ref="A12:B14"/>
    <mergeCell ref="C12:G13"/>
    <mergeCell ref="H12:Q12"/>
    <mergeCell ref="R12:R14"/>
    <mergeCell ref="S12:W13"/>
    <mergeCell ref="X12:AB13"/>
    <mergeCell ref="AC12:AC14"/>
    <mergeCell ref="H13:L13"/>
    <mergeCell ref="M13:Q13"/>
  </mergeCells>
  <printOptions horizontalCentered="1"/>
  <pageMargins left="0.79" right="0.79" top="0.75" bottom="0.75" header="0.3" footer="0.3"/>
  <pageSetup horizontalDpi="600" verticalDpi="600" orientation="landscape" paperSize="3" scale="60" r:id="rId1"/>
</worksheet>
</file>

<file path=xl/worksheets/sheet3.xml><?xml version="1.0" encoding="utf-8"?>
<worksheet xmlns="http://schemas.openxmlformats.org/spreadsheetml/2006/main" xmlns:r="http://schemas.openxmlformats.org/officeDocument/2006/relationships">
  <dimension ref="A1:AE110"/>
  <sheetViews>
    <sheetView zoomScaleSheetLayoutView="85" zoomScalePageLayoutView="0" workbookViewId="0" topLeftCell="A43">
      <selection activeCell="D18" sqref="D18"/>
    </sheetView>
  </sheetViews>
  <sheetFormatPr defaultColWidth="11.00390625" defaultRowHeight="15.75"/>
  <cols>
    <col min="1" max="1" width="1.37890625" style="60" customWidth="1"/>
    <col min="2" max="2" width="26.125" style="60" customWidth="1"/>
    <col min="3" max="3" width="12.125" style="61" customWidth="1"/>
    <col min="4" max="4" width="15.375" style="61" customWidth="1"/>
    <col min="5" max="5" width="13.25390625" style="61" customWidth="1"/>
    <col min="6" max="6" width="12.375" style="61" customWidth="1"/>
    <col min="7" max="7" width="14.625" style="61" customWidth="1"/>
    <col min="8" max="8" width="11.625" style="61" customWidth="1"/>
    <col min="9" max="9" width="12.625" style="61" customWidth="1"/>
    <col min="10" max="10" width="10.625" style="61" customWidth="1"/>
    <col min="11" max="11" width="13.00390625" style="61" customWidth="1"/>
    <col min="12" max="12" width="14.625" style="61" customWidth="1"/>
    <col min="13" max="13" width="4.125" style="61" customWidth="1"/>
    <col min="14" max="14" width="13.125" style="61" customWidth="1"/>
    <col min="15" max="15" width="4.25390625" style="61" customWidth="1"/>
    <col min="16" max="16" width="14.25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0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121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37">
        <f>C18+C19</f>
        <v>12128290.08</v>
      </c>
      <c r="D17" s="143">
        <f>D18+D19</f>
        <v>9287606.14</v>
      </c>
      <c r="E17" s="37">
        <f>E18+E19</f>
        <v>0</v>
      </c>
      <c r="F17" s="37">
        <f>F18+F19</f>
        <v>25617429.41</v>
      </c>
      <c r="G17" s="38">
        <f>SUM(C17:F17)</f>
        <v>47033325.629999995</v>
      </c>
      <c r="H17" s="37">
        <f>H18+H19</f>
        <v>0</v>
      </c>
      <c r="I17" s="37">
        <f>I18+I19</f>
        <v>13102653.83</v>
      </c>
      <c r="J17" s="37">
        <f>J18+J19</f>
        <v>0</v>
      </c>
      <c r="K17" s="37">
        <f>K18+K19</f>
        <v>6552000</v>
      </c>
      <c r="L17" s="38">
        <f>SUM(H17:K17)</f>
        <v>19654653.83</v>
      </c>
      <c r="M17" s="143">
        <f>M18+M19</f>
        <v>0</v>
      </c>
      <c r="N17" s="157">
        <f>N18+N19</f>
        <v>0</v>
      </c>
      <c r="O17" s="37">
        <f>O18+O19</f>
        <v>0</v>
      </c>
      <c r="P17" s="157">
        <f>P18+P19</f>
        <v>0</v>
      </c>
      <c r="Q17" s="159">
        <f>SUM(M17:P17)</f>
        <v>0</v>
      </c>
      <c r="R17" s="39">
        <f>G17+L17+Q17</f>
        <v>66687979.45999999</v>
      </c>
      <c r="S17" s="37">
        <f>S18+S19</f>
        <v>0</v>
      </c>
      <c r="T17" s="37">
        <f>T18+T19</f>
        <v>0</v>
      </c>
      <c r="U17" s="37">
        <f>U18+U19</f>
        <v>0</v>
      </c>
      <c r="V17" s="37">
        <f>V18+V19</f>
        <v>0</v>
      </c>
      <c r="W17" s="38">
        <f>SUM(S17:V17)</f>
        <v>0</v>
      </c>
      <c r="X17" s="37">
        <f>X18+X19</f>
        <v>12128290.08</v>
      </c>
      <c r="Y17" s="37">
        <f>Y18+Y19</f>
        <v>22390259.97</v>
      </c>
      <c r="Z17" s="37">
        <f>Z18+Z19</f>
        <v>0</v>
      </c>
      <c r="AA17" s="37">
        <f>AA18+AA19</f>
        <v>32169429.41</v>
      </c>
      <c r="AB17" s="38">
        <f>SUM(X17:AA17)</f>
        <v>66687979.45999999</v>
      </c>
      <c r="AC17" s="40"/>
    </row>
    <row r="18" spans="1:31" ht="15.75">
      <c r="A18" s="252" t="s">
        <v>25</v>
      </c>
      <c r="B18" s="253"/>
      <c r="C18" s="148">
        <v>11160577.97</v>
      </c>
      <c r="D18" s="149">
        <f>8150412.86-12000</f>
        <v>8138412.86</v>
      </c>
      <c r="E18" s="150"/>
      <c r="F18" s="150">
        <v>209205.98</v>
      </c>
      <c r="G18" s="38">
        <f aca="true" t="shared" si="0" ref="G18:G24">SUM(C18:F18)</f>
        <v>19508196.810000002</v>
      </c>
      <c r="H18" s="155">
        <v>0</v>
      </c>
      <c r="I18" s="148">
        <f>6964181.14-4655-997.49-2941.06-11520</f>
        <v>6944067.59</v>
      </c>
      <c r="J18" s="154"/>
      <c r="K18" s="154">
        <v>6552000</v>
      </c>
      <c r="L18" s="38">
        <f aca="true" t="shared" si="1" ref="L18:L24">SUM(H18:K18)</f>
        <v>13496067.59</v>
      </c>
      <c r="M18" s="144"/>
      <c r="N18" s="41"/>
      <c r="O18" s="41"/>
      <c r="P18" s="41"/>
      <c r="Q18" s="159">
        <f aca="true" t="shared" si="2" ref="Q18:Q24">SUM(M18:P18)</f>
        <v>0</v>
      </c>
      <c r="R18" s="39">
        <f aca="true" t="shared" si="3" ref="R18:R24">G18+L18+Q18</f>
        <v>33004264.400000002</v>
      </c>
      <c r="S18" s="41"/>
      <c r="T18" s="41"/>
      <c r="U18" s="41"/>
      <c r="V18" s="41"/>
      <c r="W18" s="159">
        <f aca="true" t="shared" si="4" ref="W18:W24">SUM(S18:V18)</f>
        <v>0</v>
      </c>
      <c r="X18" s="41">
        <f>C18+H18+M18+S18</f>
        <v>11160577.97</v>
      </c>
      <c r="Y18" s="41">
        <f aca="true" t="shared" si="5" ref="Y18:AA24">D18+I18+N18+T18</f>
        <v>15082480.45</v>
      </c>
      <c r="Z18" s="41">
        <f t="shared" si="5"/>
        <v>0</v>
      </c>
      <c r="AA18" s="41">
        <f t="shared" si="5"/>
        <v>6761205.98</v>
      </c>
      <c r="AB18" s="38">
        <f aca="true" t="shared" si="6" ref="AB18:AB24">SUM(X18:AA18)</f>
        <v>33004264.400000002</v>
      </c>
      <c r="AC18" s="42"/>
      <c r="AE18" s="128"/>
    </row>
    <row r="19" spans="1:29" ht="15.75">
      <c r="A19" s="196" t="s">
        <v>26</v>
      </c>
      <c r="B19" s="197"/>
      <c r="C19" s="150">
        <v>967712.11</v>
      </c>
      <c r="D19" s="151">
        <f>1138768.28+10425</f>
        <v>1149193.28</v>
      </c>
      <c r="E19" s="150"/>
      <c r="F19" s="150">
        <v>25408223.43</v>
      </c>
      <c r="G19" s="38">
        <f t="shared" si="0"/>
        <v>27525128.82</v>
      </c>
      <c r="H19" s="150">
        <v>0</v>
      </c>
      <c r="I19" s="151">
        <v>6158586.24</v>
      </c>
      <c r="J19" s="150"/>
      <c r="K19" s="150">
        <v>0</v>
      </c>
      <c r="L19" s="38">
        <f t="shared" si="1"/>
        <v>6158586.24</v>
      </c>
      <c r="M19" s="144"/>
      <c r="N19" s="41"/>
      <c r="O19" s="41"/>
      <c r="P19" s="41"/>
      <c r="Q19" s="159">
        <f t="shared" si="2"/>
        <v>0</v>
      </c>
      <c r="R19" s="39">
        <f t="shared" si="3"/>
        <v>33683715.06</v>
      </c>
      <c r="S19" s="41"/>
      <c r="T19" s="41"/>
      <c r="U19" s="41"/>
      <c r="V19" s="41"/>
      <c r="W19" s="159">
        <f t="shared" si="4"/>
        <v>0</v>
      </c>
      <c r="X19" s="41">
        <f aca="true" t="shared" si="7" ref="X19:X24">C19+H19+M19+S19</f>
        <v>967712.11</v>
      </c>
      <c r="Y19" s="41">
        <f t="shared" si="5"/>
        <v>7307779.5200000005</v>
      </c>
      <c r="Z19" s="41">
        <f t="shared" si="5"/>
        <v>0</v>
      </c>
      <c r="AA19" s="41">
        <f t="shared" si="5"/>
        <v>25408223.43</v>
      </c>
      <c r="AB19" s="38">
        <f t="shared" si="6"/>
        <v>33683715.06</v>
      </c>
      <c r="AC19" s="42"/>
    </row>
    <row r="20" spans="1:29" ht="15.75">
      <c r="A20" s="195" t="s">
        <v>27</v>
      </c>
      <c r="B20" s="197"/>
      <c r="C20" s="150"/>
      <c r="D20" s="152"/>
      <c r="E20" s="150"/>
      <c r="F20" s="150"/>
      <c r="G20" s="38">
        <f t="shared" si="0"/>
        <v>0</v>
      </c>
      <c r="H20" s="150"/>
      <c r="I20" s="150"/>
      <c r="J20" s="150"/>
      <c r="K20" s="150"/>
      <c r="L20" s="38">
        <f t="shared" si="1"/>
        <v>0</v>
      </c>
      <c r="M20" s="144"/>
      <c r="N20" s="41"/>
      <c r="O20" s="41"/>
      <c r="P20" s="41"/>
      <c r="Q20" s="159">
        <f t="shared" si="2"/>
        <v>0</v>
      </c>
      <c r="R20" s="39">
        <f t="shared" si="3"/>
        <v>0</v>
      </c>
      <c r="S20" s="41"/>
      <c r="T20" s="41"/>
      <c r="U20" s="41"/>
      <c r="V20" s="41"/>
      <c r="W20" s="159">
        <f t="shared" si="4"/>
        <v>0</v>
      </c>
      <c r="X20" s="41">
        <f t="shared" si="7"/>
        <v>0</v>
      </c>
      <c r="Y20" s="41">
        <f t="shared" si="5"/>
        <v>0</v>
      </c>
      <c r="Z20" s="41">
        <f t="shared" si="5"/>
        <v>0</v>
      </c>
      <c r="AA20" s="41">
        <f t="shared" si="5"/>
        <v>0</v>
      </c>
      <c r="AB20" s="38">
        <f t="shared" si="6"/>
        <v>0</v>
      </c>
      <c r="AC20" s="42"/>
    </row>
    <row r="21" spans="1:31" ht="15.75">
      <c r="A21" s="195" t="s">
        <v>28</v>
      </c>
      <c r="B21" s="198"/>
      <c r="C21" s="148">
        <v>929334.41</v>
      </c>
      <c r="D21" s="155">
        <v>135871.75</v>
      </c>
      <c r="E21" s="148"/>
      <c r="F21" s="155">
        <v>1501528.92</v>
      </c>
      <c r="G21" s="38">
        <f t="shared" si="0"/>
        <v>2566735.08</v>
      </c>
      <c r="H21" s="150"/>
      <c r="I21" s="155">
        <v>532129.16</v>
      </c>
      <c r="J21" s="148"/>
      <c r="K21" s="155">
        <v>78000</v>
      </c>
      <c r="L21" s="38">
        <f t="shared" si="1"/>
        <v>610129.16</v>
      </c>
      <c r="M21" s="147"/>
      <c r="N21" s="87"/>
      <c r="O21" s="41"/>
      <c r="P21" s="41"/>
      <c r="Q21" s="159">
        <f t="shared" si="2"/>
        <v>0</v>
      </c>
      <c r="R21" s="39">
        <f t="shared" si="3"/>
        <v>3176864.24</v>
      </c>
      <c r="S21" s="41"/>
      <c r="T21" s="41"/>
      <c r="U21" s="41"/>
      <c r="V21" s="41"/>
      <c r="W21" s="159">
        <f t="shared" si="4"/>
        <v>0</v>
      </c>
      <c r="X21" s="41">
        <f t="shared" si="7"/>
        <v>929334.41</v>
      </c>
      <c r="Y21" s="41">
        <f t="shared" si="5"/>
        <v>668000.91</v>
      </c>
      <c r="Z21" s="41">
        <f>E21+J21+O21+U21</f>
        <v>0</v>
      </c>
      <c r="AA21" s="41">
        <f t="shared" si="5"/>
        <v>1579528.92</v>
      </c>
      <c r="AB21" s="38">
        <f t="shared" si="6"/>
        <v>3176864.24</v>
      </c>
      <c r="AC21" s="42"/>
      <c r="AE21" s="128"/>
    </row>
    <row r="22" spans="1:29" ht="15.75">
      <c r="A22" s="195" t="s">
        <v>29</v>
      </c>
      <c r="B22" s="198"/>
      <c r="C22" s="150"/>
      <c r="D22" s="152"/>
      <c r="E22" s="150"/>
      <c r="F22" s="150"/>
      <c r="G22" s="38">
        <f t="shared" si="0"/>
        <v>0</v>
      </c>
      <c r="H22" s="150"/>
      <c r="I22" s="150"/>
      <c r="J22" s="150"/>
      <c r="K22" s="150"/>
      <c r="L22" s="38">
        <f t="shared" si="1"/>
        <v>0</v>
      </c>
      <c r="M22" s="144"/>
      <c r="N22" s="41"/>
      <c r="O22" s="41"/>
      <c r="P22" s="41"/>
      <c r="Q22" s="159">
        <f t="shared" si="2"/>
        <v>0</v>
      </c>
      <c r="R22" s="39">
        <f t="shared" si="3"/>
        <v>0</v>
      </c>
      <c r="S22" s="41"/>
      <c r="T22" s="41"/>
      <c r="U22" s="41"/>
      <c r="V22" s="41"/>
      <c r="W22" s="159">
        <f t="shared" si="4"/>
        <v>0</v>
      </c>
      <c r="X22" s="41">
        <f t="shared" si="7"/>
        <v>0</v>
      </c>
      <c r="Y22" s="41">
        <f t="shared" si="5"/>
        <v>0</v>
      </c>
      <c r="Z22" s="41">
        <f t="shared" si="5"/>
        <v>0</v>
      </c>
      <c r="AA22" s="41">
        <f t="shared" si="5"/>
        <v>0</v>
      </c>
      <c r="AB22" s="38">
        <f t="shared" si="6"/>
        <v>0</v>
      </c>
      <c r="AC22" s="42"/>
    </row>
    <row r="23" spans="1:29" ht="15.75">
      <c r="A23" s="195" t="s">
        <v>30</v>
      </c>
      <c r="B23" s="198"/>
      <c r="C23" s="150"/>
      <c r="D23" s="152"/>
      <c r="E23" s="150"/>
      <c r="F23" s="150"/>
      <c r="G23" s="38">
        <f t="shared" si="0"/>
        <v>0</v>
      </c>
      <c r="H23" s="150"/>
      <c r="I23" s="150"/>
      <c r="J23" s="150"/>
      <c r="K23" s="150"/>
      <c r="L23" s="38">
        <f t="shared" si="1"/>
        <v>0</v>
      </c>
      <c r="M23" s="144"/>
      <c r="N23" s="41"/>
      <c r="O23" s="41"/>
      <c r="P23" s="41"/>
      <c r="Q23" s="159">
        <f t="shared" si="2"/>
        <v>0</v>
      </c>
      <c r="R23" s="39">
        <f t="shared" si="3"/>
        <v>0</v>
      </c>
      <c r="S23" s="41"/>
      <c r="T23" s="41"/>
      <c r="U23" s="41"/>
      <c r="V23" s="41"/>
      <c r="W23" s="159">
        <f t="shared" si="4"/>
        <v>0</v>
      </c>
      <c r="X23" s="41">
        <f t="shared" si="7"/>
        <v>0</v>
      </c>
      <c r="Y23" s="41">
        <f t="shared" si="5"/>
        <v>0</v>
      </c>
      <c r="Z23" s="41">
        <f t="shared" si="5"/>
        <v>0</v>
      </c>
      <c r="AA23" s="41">
        <f t="shared" si="5"/>
        <v>0</v>
      </c>
      <c r="AB23" s="38">
        <f t="shared" si="6"/>
        <v>0</v>
      </c>
      <c r="AC23" s="42"/>
    </row>
    <row r="24" spans="1:29" ht="15.75">
      <c r="A24" s="195" t="s">
        <v>31</v>
      </c>
      <c r="B24" s="198"/>
      <c r="C24" s="153"/>
      <c r="D24" s="152"/>
      <c r="E24" s="150"/>
      <c r="F24" s="150"/>
      <c r="G24" s="38">
        <f t="shared" si="0"/>
        <v>0</v>
      </c>
      <c r="H24" s="150"/>
      <c r="I24" s="150"/>
      <c r="J24" s="150"/>
      <c r="K24" s="150"/>
      <c r="L24" s="177">
        <f t="shared" si="1"/>
        <v>0</v>
      </c>
      <c r="M24" s="144"/>
      <c r="N24" s="41"/>
      <c r="O24" s="41"/>
      <c r="P24" s="41"/>
      <c r="Q24" s="159">
        <f t="shared" si="2"/>
        <v>0</v>
      </c>
      <c r="R24" s="39">
        <f t="shared" si="3"/>
        <v>0</v>
      </c>
      <c r="S24" s="41"/>
      <c r="T24" s="41"/>
      <c r="U24" s="41"/>
      <c r="V24" s="41"/>
      <c r="W24" s="159">
        <f t="shared" si="4"/>
        <v>0</v>
      </c>
      <c r="X24" s="41">
        <f t="shared" si="7"/>
        <v>0</v>
      </c>
      <c r="Y24" s="41">
        <f t="shared" si="5"/>
        <v>0</v>
      </c>
      <c r="Z24" s="41">
        <f t="shared" si="5"/>
        <v>0</v>
      </c>
      <c r="AA24" s="41">
        <f t="shared" si="5"/>
        <v>0</v>
      </c>
      <c r="AB24" s="38">
        <f t="shared" si="6"/>
        <v>0</v>
      </c>
      <c r="AC24" s="42"/>
    </row>
    <row r="25" spans="1:29" ht="16.5" thickBot="1">
      <c r="A25" s="47"/>
      <c r="B25" s="198" t="s">
        <v>32</v>
      </c>
      <c r="C25" s="146">
        <f>C17+C21+C22+C24+C20+C23</f>
        <v>13057624.49</v>
      </c>
      <c r="D25" s="146">
        <f>D17+D21+D22+D24+D20+D23</f>
        <v>9423477.89</v>
      </c>
      <c r="E25" s="146">
        <f>E17+E21+E22+E24+E20+E23</f>
        <v>0</v>
      </c>
      <c r="F25" s="146">
        <f>F17+F21+F22+F24+F20+F23</f>
        <v>27118958.33</v>
      </c>
      <c r="G25" s="146">
        <f>G17+G21+G22+G24+G20+G23</f>
        <v>49600060.70999999</v>
      </c>
      <c r="H25" s="146">
        <f>H17+H21+H22+H24+H20+H23</f>
        <v>0</v>
      </c>
      <c r="I25" s="146">
        <f>I17+I21+I22+I24+I20+I23</f>
        <v>13634782.99</v>
      </c>
      <c r="J25" s="146">
        <f>J17+J21+J22+J24+J20+J23</f>
        <v>0</v>
      </c>
      <c r="K25" s="146">
        <f>K17+K21+K22+K24+K20+K23</f>
        <v>6630000</v>
      </c>
      <c r="L25" s="146">
        <f>L17+L21+L22+L24+L20+L23</f>
        <v>20264782.99</v>
      </c>
      <c r="M25" s="146">
        <f>M17+M21+M22+M24+M20+M23</f>
        <v>0</v>
      </c>
      <c r="N25" s="160">
        <f>N17+N21+N22+N24+N20+N23</f>
        <v>0</v>
      </c>
      <c r="O25" s="146">
        <f>O17+O21+O22+O24+O20+O23</f>
        <v>0</v>
      </c>
      <c r="P25" s="160">
        <f>P17+P21+P22+P24+P20+P23</f>
        <v>0</v>
      </c>
      <c r="Q25" s="160">
        <f>Q17+Q21+Q22+Q24+Q20+Q23</f>
        <v>0</v>
      </c>
      <c r="R25" s="146">
        <f>R17+R21+R22+R24</f>
        <v>69864843.69999999</v>
      </c>
      <c r="S25" s="146">
        <f>S17+S21+S22+S24+S20+S23</f>
        <v>0</v>
      </c>
      <c r="T25" s="146">
        <f>T17+T21+T22+T24+T20+T23</f>
        <v>0</v>
      </c>
      <c r="U25" s="146">
        <f>U17+U21+U22+U24+U20+U23</f>
        <v>0</v>
      </c>
      <c r="V25" s="146">
        <f>V17+V21+V22+V24+V20+V23</f>
        <v>0</v>
      </c>
      <c r="W25" s="146">
        <f>W17+W21+W22+W24+W20+W23</f>
        <v>0</v>
      </c>
      <c r="X25" s="146">
        <f>X17+X21+X22+X24+X20+X23</f>
        <v>13057624.49</v>
      </c>
      <c r="Y25" s="146">
        <f>Y17+Y21+Y22+Y24+Y20+Y23</f>
        <v>23058260.88</v>
      </c>
      <c r="Z25" s="146">
        <f>Z17+Z21+Z22+Z24+Z20+Z23</f>
        <v>0</v>
      </c>
      <c r="AA25" s="146">
        <f>AA17+AA21+AA22+AA24+AA20+AA23</f>
        <v>33748958.33</v>
      </c>
      <c r="AB25" s="146">
        <f>AB17+AB21+AB22+AB24+AB20+AB23</f>
        <v>69864843.69999999</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98" t="s">
        <v>33</v>
      </c>
      <c r="H28" s="62"/>
      <c r="I28" s="62"/>
      <c r="J28" s="62"/>
      <c r="K28" s="62"/>
      <c r="L28" s="63"/>
      <c r="M28" s="63"/>
      <c r="N28" s="63"/>
      <c r="O28" s="63"/>
      <c r="P28" s="63"/>
      <c r="Q28" s="63"/>
      <c r="R28" s="63"/>
      <c r="S28" s="64"/>
      <c r="AC28" s="65"/>
    </row>
    <row r="29" spans="1:29" ht="26.25">
      <c r="A29" s="198"/>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170">
        <f>SUM(D31:D36)</f>
        <v>1063287107.95</v>
      </c>
      <c r="E30" s="170">
        <f>SUM(E31:E36)</f>
        <v>200877723.24</v>
      </c>
      <c r="F30" s="62"/>
      <c r="G30" s="170">
        <f>SUM(G31:G36)</f>
        <v>1264164831.19</v>
      </c>
      <c r="H30" s="62"/>
      <c r="I30" s="254" t="s">
        <v>52</v>
      </c>
      <c r="J30" s="67" t="s">
        <v>38</v>
      </c>
      <c r="K30" s="62"/>
      <c r="L30" s="170">
        <f>+'101 oct'!P30</f>
        <v>1042009926</v>
      </c>
      <c r="M30" s="68"/>
      <c r="N30" s="68">
        <f>N34+N42</f>
        <v>197700859</v>
      </c>
      <c r="O30" s="68"/>
      <c r="P30" s="170">
        <f>L30+N30</f>
        <v>1239710785</v>
      </c>
      <c r="AC30" s="65"/>
    </row>
    <row r="31" spans="1:29" ht="15.75">
      <c r="A31" s="69"/>
      <c r="B31" s="66" t="s">
        <v>39</v>
      </c>
      <c r="C31" s="68"/>
      <c r="D31" s="170">
        <f>+'101 oct'!G31</f>
        <v>1031977926</v>
      </c>
      <c r="E31" s="170">
        <f>197076000+460000+164859</f>
        <v>197700859</v>
      </c>
      <c r="F31" s="62"/>
      <c r="G31" s="179">
        <f>C31+E31+D31</f>
        <v>1229678785</v>
      </c>
      <c r="H31" s="62"/>
      <c r="I31" s="254"/>
      <c r="J31" s="64" t="s">
        <v>40</v>
      </c>
      <c r="K31" s="62"/>
      <c r="L31" s="172">
        <f>+'101 oct'!P31</f>
        <v>963781777.7414</v>
      </c>
      <c r="M31" s="70"/>
      <c r="N31" s="70">
        <f>+N35+N39+N43</f>
        <v>69864843.69999999</v>
      </c>
      <c r="O31" s="70"/>
      <c r="P31" s="171">
        <f>L31+N31</f>
        <v>1033646621.4414</v>
      </c>
      <c r="AC31" s="65"/>
    </row>
    <row r="32" spans="1:29" ht="16.5" thickBot="1">
      <c r="A32" s="69"/>
      <c r="B32" s="66" t="s">
        <v>67</v>
      </c>
      <c r="C32" s="62"/>
      <c r="D32" s="170"/>
      <c r="E32" s="170"/>
      <c r="F32" s="62"/>
      <c r="G32" s="63">
        <f aca="true" t="shared" si="8" ref="G32:G38">C32+E32+D32</f>
        <v>0</v>
      </c>
      <c r="H32" s="62"/>
      <c r="I32" s="254"/>
      <c r="J32" s="64" t="s">
        <v>41</v>
      </c>
      <c r="K32" s="62"/>
      <c r="L32" s="168">
        <f>L30-L31</f>
        <v>78228148.2586</v>
      </c>
      <c r="M32" s="70"/>
      <c r="N32" s="168">
        <f>N30-N31</f>
        <v>127836015.30000001</v>
      </c>
      <c r="O32" s="70"/>
      <c r="P32" s="169">
        <f>P30-P31</f>
        <v>206064163.55859995</v>
      </c>
      <c r="AC32" s="65"/>
    </row>
    <row r="33" spans="1:29" ht="16.5" thickTop="1">
      <c r="A33" s="69"/>
      <c r="B33" s="66" t="s">
        <v>42</v>
      </c>
      <c r="C33" s="62"/>
      <c r="D33" s="170">
        <f>+'101 oct'!G33</f>
        <v>31309181.949999996</v>
      </c>
      <c r="E33" s="170">
        <f>+AB21</f>
        <v>3176864.24</v>
      </c>
      <c r="F33" s="62"/>
      <c r="G33" s="179">
        <f t="shared" si="8"/>
        <v>34486046.19</v>
      </c>
      <c r="H33" s="62"/>
      <c r="I33" s="76"/>
      <c r="J33" s="64"/>
      <c r="K33" s="62"/>
      <c r="L33" s="172"/>
      <c r="M33" s="64"/>
      <c r="N33" s="64"/>
      <c r="O33" s="64"/>
      <c r="P33" s="172"/>
      <c r="R33" s="140" t="s">
        <v>58</v>
      </c>
      <c r="X33" s="140" t="s">
        <v>60</v>
      </c>
      <c r="AC33" s="65"/>
    </row>
    <row r="34" spans="1:29" ht="15" customHeight="1">
      <c r="A34" s="69"/>
      <c r="B34" s="66" t="s">
        <v>43</v>
      </c>
      <c r="C34" s="62"/>
      <c r="D34" s="62"/>
      <c r="E34" s="170"/>
      <c r="F34" s="62"/>
      <c r="G34" s="63">
        <f t="shared" si="8"/>
        <v>0</v>
      </c>
      <c r="H34" s="62"/>
      <c r="I34" s="254" t="s">
        <v>53</v>
      </c>
      <c r="J34" s="67" t="s">
        <v>38</v>
      </c>
      <c r="K34" s="62"/>
      <c r="L34" s="170">
        <f>+'101 oct'!P34</f>
        <v>1019379926</v>
      </c>
      <c r="M34" s="68"/>
      <c r="N34" s="68">
        <f>E31</f>
        <v>197700859</v>
      </c>
      <c r="O34" s="68"/>
      <c r="P34" s="170">
        <f>L34+N34</f>
        <v>1217080785</v>
      </c>
      <c r="AC34" s="65"/>
    </row>
    <row r="35" spans="1:29" ht="15.75">
      <c r="A35" s="69"/>
      <c r="B35" s="66" t="s">
        <v>44</v>
      </c>
      <c r="C35" s="62"/>
      <c r="D35" s="62"/>
      <c r="E35" s="62"/>
      <c r="F35" s="62"/>
      <c r="G35" s="63">
        <f t="shared" si="8"/>
        <v>0</v>
      </c>
      <c r="H35" s="62"/>
      <c r="I35" s="254"/>
      <c r="J35" s="64" t="s">
        <v>40</v>
      </c>
      <c r="K35" s="62"/>
      <c r="L35" s="172">
        <f>+'101 oct'!P35</f>
        <v>460430947.69139993</v>
      </c>
      <c r="M35" s="70"/>
      <c r="N35" s="70">
        <f>+G25</f>
        <v>49600060.70999999</v>
      </c>
      <c r="O35" s="70"/>
      <c r="P35" s="171">
        <f>L35+N35</f>
        <v>510031008.4013999</v>
      </c>
      <c r="AC35" s="65"/>
    </row>
    <row r="36" spans="1:29" ht="16.5" thickBot="1">
      <c r="A36" s="69"/>
      <c r="B36" s="66" t="s">
        <v>45</v>
      </c>
      <c r="C36" s="62"/>
      <c r="D36" s="62"/>
      <c r="E36" s="62"/>
      <c r="F36" s="62"/>
      <c r="G36" s="63">
        <f t="shared" si="8"/>
        <v>0</v>
      </c>
      <c r="H36" s="62"/>
      <c r="I36" s="254"/>
      <c r="J36" s="64" t="s">
        <v>41</v>
      </c>
      <c r="K36" s="62"/>
      <c r="L36" s="168">
        <f>L34-L35</f>
        <v>558948978.3086001</v>
      </c>
      <c r="M36" s="70"/>
      <c r="N36" s="72">
        <f>N34-N35</f>
        <v>148100798.29000002</v>
      </c>
      <c r="O36" s="70"/>
      <c r="P36" s="169">
        <f>P34-P35</f>
        <v>707049776.5986001</v>
      </c>
      <c r="AC36" s="65"/>
    </row>
    <row r="37" spans="1:29" ht="16.5" thickTop="1">
      <c r="A37" s="74" t="s">
        <v>46</v>
      </c>
      <c r="B37" s="66"/>
      <c r="C37" s="62"/>
      <c r="D37" s="62"/>
      <c r="E37" s="62"/>
      <c r="F37" s="62"/>
      <c r="G37" s="63">
        <f t="shared" si="8"/>
        <v>0</v>
      </c>
      <c r="H37" s="62"/>
      <c r="I37" s="76"/>
      <c r="J37" s="64"/>
      <c r="K37" s="62"/>
      <c r="L37" s="172"/>
      <c r="M37" s="64"/>
      <c r="N37" s="64"/>
      <c r="O37" s="64"/>
      <c r="P37" s="172"/>
      <c r="R37" s="140" t="s">
        <v>81</v>
      </c>
      <c r="X37" s="259" t="s">
        <v>90</v>
      </c>
      <c r="Y37" s="259"/>
      <c r="AB37" s="64"/>
      <c r="AC37" s="65"/>
    </row>
    <row r="38" spans="1:29" ht="15" customHeight="1">
      <c r="A38" s="74" t="s">
        <v>47</v>
      </c>
      <c r="B38" s="66"/>
      <c r="C38" s="62"/>
      <c r="D38" s="62"/>
      <c r="E38" s="62"/>
      <c r="F38" s="62"/>
      <c r="G38" s="63">
        <f t="shared" si="8"/>
        <v>0</v>
      </c>
      <c r="H38" s="62"/>
      <c r="I38" s="254" t="s">
        <v>54</v>
      </c>
      <c r="J38" s="67" t="s">
        <v>38</v>
      </c>
      <c r="K38" s="62"/>
      <c r="L38" s="170"/>
      <c r="M38" s="68"/>
      <c r="N38" s="68"/>
      <c r="O38" s="68"/>
      <c r="P38" s="170">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f>+O25</f>
        <v>0</v>
      </c>
      <c r="M39" s="70"/>
      <c r="N39" s="70">
        <f>+Q25</f>
        <v>0</v>
      </c>
      <c r="O39" s="70"/>
      <c r="P39" s="70">
        <f>+S25</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2">
        <f>P38-P39</f>
        <v>0</v>
      </c>
      <c r="AB40" s="64"/>
      <c r="AC40" s="65"/>
    </row>
    <row r="41" spans="1:29" ht="16.5" thickTop="1">
      <c r="A41" s="66" t="s">
        <v>48</v>
      </c>
      <c r="B41" s="66"/>
      <c r="C41" s="62">
        <f>C30-C37+C38-C39+C40</f>
        <v>0</v>
      </c>
      <c r="D41" s="170">
        <f>D30-D37+D38-D39+D40</f>
        <v>1063287107.95</v>
      </c>
      <c r="E41" s="170">
        <f>E30-E37+E38-E39+E40</f>
        <v>200877723.24</v>
      </c>
      <c r="F41" s="62"/>
      <c r="G41" s="170">
        <f>G30-G37+G38-G39+G40</f>
        <v>1264164831.19</v>
      </c>
      <c r="H41" s="62"/>
      <c r="I41" s="76"/>
      <c r="J41" s="64"/>
      <c r="K41" s="62"/>
      <c r="L41" s="172"/>
      <c r="M41" s="64"/>
      <c r="N41" s="64"/>
      <c r="O41" s="64"/>
      <c r="P41" s="172"/>
      <c r="AB41" s="64"/>
      <c r="AC41" s="65"/>
    </row>
    <row r="42" spans="1:29" ht="15" customHeight="1">
      <c r="A42" s="74" t="s">
        <v>51</v>
      </c>
      <c r="B42" s="66"/>
      <c r="C42" s="62"/>
      <c r="D42" s="170">
        <f>+'101 oct'!G42</f>
        <v>851827.52</v>
      </c>
      <c r="E42" s="170"/>
      <c r="F42" s="62"/>
      <c r="G42" s="179">
        <f>C42+E42+D42</f>
        <v>851827.52</v>
      </c>
      <c r="H42" s="62"/>
      <c r="I42" s="254" t="s">
        <v>55</v>
      </c>
      <c r="J42" s="67" t="s">
        <v>38</v>
      </c>
      <c r="K42" s="62"/>
      <c r="L42" s="170">
        <f>+'101 oct'!P42</f>
        <v>22630000</v>
      </c>
      <c r="M42" s="68"/>
      <c r="N42" s="68">
        <v>0</v>
      </c>
      <c r="O42" s="68"/>
      <c r="P42" s="170">
        <f>L42+N42</f>
        <v>22630000</v>
      </c>
      <c r="AB42" s="64"/>
      <c r="AC42" s="65"/>
    </row>
    <row r="43" spans="1:29" ht="15.75">
      <c r="A43" s="69"/>
      <c r="B43" s="66" t="s">
        <v>49</v>
      </c>
      <c r="C43" s="62"/>
      <c r="D43" s="170">
        <f>+'101 oct'!G43</f>
        <v>963781777.7414001</v>
      </c>
      <c r="E43" s="170">
        <f>AB25</f>
        <v>69864843.69999999</v>
      </c>
      <c r="F43" s="62"/>
      <c r="G43" s="179">
        <f>C43+E43+D43</f>
        <v>1033646621.4414</v>
      </c>
      <c r="H43" s="62"/>
      <c r="I43" s="254"/>
      <c r="J43" s="64" t="s">
        <v>40</v>
      </c>
      <c r="K43" s="62"/>
      <c r="L43" s="172">
        <f>+'101 oct'!P43</f>
        <v>503350830.04999995</v>
      </c>
      <c r="M43" s="70"/>
      <c r="N43" s="70">
        <f>+L25</f>
        <v>20264782.99</v>
      </c>
      <c r="O43" s="70"/>
      <c r="P43" s="171">
        <f>L43+N43</f>
        <v>523615613.03999996</v>
      </c>
      <c r="AB43" s="64"/>
      <c r="AC43" s="65"/>
    </row>
    <row r="44" spans="1:29" ht="16.5" thickBot="1">
      <c r="A44" s="74" t="s">
        <v>50</v>
      </c>
      <c r="B44" s="49"/>
      <c r="C44" s="75">
        <f>C41-C42-C43</f>
        <v>0</v>
      </c>
      <c r="D44" s="75">
        <f>D41-D42-D43</f>
        <v>98653502.68859994</v>
      </c>
      <c r="E44" s="178">
        <f>E41-E42-E43</f>
        <v>131012879.54000002</v>
      </c>
      <c r="F44" s="62"/>
      <c r="G44" s="75">
        <f>G41-G42-G43</f>
        <v>229666382.22860003</v>
      </c>
      <c r="H44" s="62"/>
      <c r="I44" s="254"/>
      <c r="J44" s="64" t="s">
        <v>41</v>
      </c>
      <c r="K44" s="62"/>
      <c r="L44" s="168">
        <f>L42-L43</f>
        <v>-480720830.04999995</v>
      </c>
      <c r="M44" s="70"/>
      <c r="N44" s="168">
        <f>N42-N43</f>
        <v>-20264782.99</v>
      </c>
      <c r="O44" s="70"/>
      <c r="P44" s="169">
        <f>P42-P43</f>
        <v>-500985613.03999996</v>
      </c>
      <c r="AB44" s="64"/>
      <c r="AC44" s="65"/>
    </row>
    <row r="45" spans="1:7" ht="16.5" thickTop="1">
      <c r="A45" s="69"/>
      <c r="B45" s="49"/>
      <c r="C45" s="62"/>
      <c r="D45" s="62"/>
      <c r="E45" s="62"/>
      <c r="F45" s="62"/>
      <c r="G45" s="63"/>
    </row>
    <row r="46" spans="1:7" ht="15.75">
      <c r="A46" s="69"/>
      <c r="B46" s="198"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row r="56" ht="15.75">
      <c r="B56" s="190" t="s">
        <v>109</v>
      </c>
    </row>
    <row r="62" spans="2:4" ht="15.75">
      <c r="B62" s="60" t="s">
        <v>111</v>
      </c>
      <c r="D62" s="61">
        <v>0.69</v>
      </c>
    </row>
    <row r="63" spans="2:9" ht="15.75">
      <c r="B63" s="60" t="s">
        <v>110</v>
      </c>
      <c r="D63" s="61">
        <v>113.11</v>
      </c>
      <c r="F63" s="61" t="s">
        <v>101</v>
      </c>
      <c r="H63" s="61">
        <v>3000</v>
      </c>
      <c r="I63" s="61" t="s">
        <v>102</v>
      </c>
    </row>
    <row r="64" spans="2:6" ht="15.75">
      <c r="B64" s="60" t="s">
        <v>99</v>
      </c>
      <c r="D64" s="61">
        <f>26488.11-113.11</f>
        <v>26375</v>
      </c>
      <c r="F64" s="61" t="s">
        <v>104</v>
      </c>
    </row>
    <row r="65" spans="2:8" ht="15.75">
      <c r="B65" s="60" t="s">
        <v>100</v>
      </c>
      <c r="D65" s="61">
        <f>SUM(D62:D64)</f>
        <v>26488.8</v>
      </c>
      <c r="F65" s="61" t="s">
        <v>103</v>
      </c>
      <c r="H65" s="61">
        <v>23375</v>
      </c>
    </row>
    <row r="66" spans="6:9" ht="15.75">
      <c r="F66" s="61" t="s">
        <v>105</v>
      </c>
      <c r="G66" s="61">
        <f>7154+851.92</f>
        <v>8005.92</v>
      </c>
      <c r="I66" s="61" t="s">
        <v>106</v>
      </c>
    </row>
    <row r="67" ht="15.75">
      <c r="G67" s="61">
        <f>+G66-H63</f>
        <v>5005.92</v>
      </c>
    </row>
    <row r="68" ht="15.75">
      <c r="G68" s="61">
        <v>113.11</v>
      </c>
    </row>
    <row r="69" ht="15.75">
      <c r="G69" s="61">
        <f>+G67-G68</f>
        <v>4892.81</v>
      </c>
    </row>
    <row r="70" spans="2:4" ht="15.75">
      <c r="B70" s="60" t="s">
        <v>107</v>
      </c>
      <c r="D70" s="61">
        <v>2375</v>
      </c>
    </row>
    <row r="71" ht="15.75">
      <c r="D71" s="61">
        <v>21000</v>
      </c>
    </row>
    <row r="72" ht="15.75">
      <c r="D72" s="188">
        <v>3000</v>
      </c>
    </row>
    <row r="73" ht="15.75">
      <c r="D73" s="61">
        <f>SUM(D70:D72)</f>
        <v>26375</v>
      </c>
    </row>
    <row r="74" spans="2:4" ht="15.75">
      <c r="B74" s="60" t="s">
        <v>112</v>
      </c>
      <c r="D74" s="188">
        <f>113.11+0.69</f>
        <v>113.8</v>
      </c>
    </row>
    <row r="75" spans="2:4" ht="16.5" thickBot="1">
      <c r="B75" s="60" t="s">
        <v>108</v>
      </c>
      <c r="D75" s="189">
        <f>+D73+D74</f>
        <v>26488.8</v>
      </c>
    </row>
    <row r="76" ht="16.5" thickTop="1"/>
    <row r="100" spans="2:4" ht="15.75">
      <c r="B100" s="60" t="s">
        <v>114</v>
      </c>
      <c r="C100" s="61" t="s">
        <v>119</v>
      </c>
      <c r="D100" s="61" t="s">
        <v>120</v>
      </c>
    </row>
    <row r="101" spans="2:9" ht="15.75">
      <c r="B101" s="60" t="s">
        <v>116</v>
      </c>
      <c r="C101" s="61">
        <v>5747618.75</v>
      </c>
      <c r="D101" s="61">
        <v>137826.92</v>
      </c>
      <c r="I101" s="61">
        <f>+D101+C101</f>
        <v>5885445.67</v>
      </c>
    </row>
    <row r="102" spans="2:9" ht="15.75">
      <c r="B102" s="60" t="s">
        <v>117</v>
      </c>
      <c r="C102" s="61">
        <v>18793726.66</v>
      </c>
      <c r="D102" s="61">
        <v>3351852.99</v>
      </c>
      <c r="I102" s="61">
        <f>+D102+C102</f>
        <v>22145579.65</v>
      </c>
    </row>
    <row r="103" spans="2:9" ht="15.75">
      <c r="B103" s="60" t="s">
        <v>118</v>
      </c>
      <c r="C103" s="61">
        <v>1459784.56</v>
      </c>
      <c r="D103" s="61">
        <v>57759.59</v>
      </c>
      <c r="E103" s="61">
        <f>SUM(D101:D103)</f>
        <v>3547439.5</v>
      </c>
      <c r="F103" s="61">
        <f>SUM(C101:C103)</f>
        <v>26001129.97</v>
      </c>
      <c r="I103" s="61">
        <f>+D103+C103</f>
        <v>1517544.1500000001</v>
      </c>
    </row>
    <row r="106" ht="15.75">
      <c r="B106" s="60" t="s">
        <v>115</v>
      </c>
    </row>
    <row r="107" ht="15.75">
      <c r="B107" s="60" t="s">
        <v>116</v>
      </c>
    </row>
    <row r="108" spans="2:9" ht="15.75">
      <c r="B108" s="60" t="s">
        <v>117</v>
      </c>
      <c r="C108" s="61">
        <v>4824110.96</v>
      </c>
      <c r="D108" s="61">
        <v>1393156.16</v>
      </c>
      <c r="I108" s="61">
        <f>+D108+C108</f>
        <v>6217267.12</v>
      </c>
    </row>
    <row r="109" spans="2:9" ht="15.75">
      <c r="B109" s="60" t="s">
        <v>118</v>
      </c>
      <c r="C109" s="61">
        <v>1724660.72</v>
      </c>
      <c r="E109" s="61">
        <f>SUM(D107:D109)</f>
        <v>1393156.16</v>
      </c>
      <c r="F109" s="61">
        <f>SUM(C107:C109)</f>
        <v>6548771.68</v>
      </c>
      <c r="I109" s="61">
        <f>+D109+C109</f>
        <v>1724660.72</v>
      </c>
    </row>
    <row r="110" spans="5:9" ht="15.75">
      <c r="E110" s="61">
        <f>+E109+E103</f>
        <v>4940595.66</v>
      </c>
      <c r="F110" s="61">
        <f>+F109+F103</f>
        <v>32549901.65</v>
      </c>
      <c r="G110" s="61">
        <f>+E110+F110</f>
        <v>37490497.31</v>
      </c>
      <c r="I110" s="61">
        <f>+D110+C110</f>
        <v>0</v>
      </c>
    </row>
  </sheetData>
  <sheetProtection/>
  <mergeCells count="29">
    <mergeCell ref="AB1:AC1"/>
    <mergeCell ref="A2:AC2"/>
    <mergeCell ref="A3:AC3"/>
    <mergeCell ref="A4:AC4"/>
    <mergeCell ref="A12:B14"/>
    <mergeCell ref="C12:G13"/>
    <mergeCell ref="H12:Q12"/>
    <mergeCell ref="R12:R14"/>
    <mergeCell ref="S12:W13"/>
    <mergeCell ref="X12:AB13"/>
    <mergeCell ref="AC12:AC14"/>
    <mergeCell ref="H13:L13"/>
    <mergeCell ref="M13:Q13"/>
    <mergeCell ref="A15:B15"/>
    <mergeCell ref="C15:G15"/>
    <mergeCell ref="H15:L15"/>
    <mergeCell ref="M15:Q15"/>
    <mergeCell ref="S15:W15"/>
    <mergeCell ref="X15:AB15"/>
    <mergeCell ref="I38:I40"/>
    <mergeCell ref="R38:S38"/>
    <mergeCell ref="X38:Y38"/>
    <mergeCell ref="I42:I44"/>
    <mergeCell ref="X37:Y37"/>
    <mergeCell ref="A16:B16"/>
    <mergeCell ref="A17:B17"/>
    <mergeCell ref="A18:B18"/>
    <mergeCell ref="I30:I32"/>
    <mergeCell ref="I34:I36"/>
  </mergeCells>
  <printOptions horizontalCentered="1"/>
  <pageMargins left="0.79" right="0.79" top="0.75" bottom="0.75" header="0.3" footer="0.3"/>
  <pageSetup horizontalDpi="600" verticalDpi="600" orientation="landscape" paperSize="3" scale="60" r:id="rId1"/>
</worksheet>
</file>

<file path=xl/worksheets/sheet4.xml><?xml version="1.0" encoding="utf-8"?>
<worksheet xmlns="http://schemas.openxmlformats.org/spreadsheetml/2006/main" xmlns:r="http://schemas.openxmlformats.org/officeDocument/2006/relationships">
  <dimension ref="A1:AE110"/>
  <sheetViews>
    <sheetView zoomScaleSheetLayoutView="85" zoomScalePageLayoutView="0" workbookViewId="0" topLeftCell="A35">
      <selection activeCell="A76" sqref="A76"/>
    </sheetView>
  </sheetViews>
  <sheetFormatPr defaultColWidth="11.00390625" defaultRowHeight="15.75"/>
  <cols>
    <col min="1" max="1" width="1.37890625" style="60" customWidth="1"/>
    <col min="2" max="2" width="26.125" style="60" customWidth="1"/>
    <col min="3" max="3" width="12.125" style="61" customWidth="1"/>
    <col min="4" max="4" width="13.375" style="61" customWidth="1"/>
    <col min="5" max="5" width="13.25390625" style="61" customWidth="1"/>
    <col min="6" max="6" width="12.375" style="61" customWidth="1"/>
    <col min="7" max="7" width="14.625" style="61" customWidth="1"/>
    <col min="8" max="8" width="11.625" style="61" customWidth="1"/>
    <col min="9" max="9" width="12.625" style="61" customWidth="1"/>
    <col min="10" max="10" width="10.625" style="61" customWidth="1"/>
    <col min="11" max="11" width="13.00390625" style="61" customWidth="1"/>
    <col min="12" max="12" width="13.50390625" style="61" customWidth="1"/>
    <col min="13" max="13" width="4.125" style="61" customWidth="1"/>
    <col min="14" max="14" width="13.125" style="61" customWidth="1"/>
    <col min="15" max="15" width="4.25390625" style="61" customWidth="1"/>
    <col min="16" max="16" width="14.25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0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113</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37">
        <f>C18+C19</f>
        <v>5885445.67</v>
      </c>
      <c r="D17" s="143">
        <f>D18+D19</f>
        <v>22145579.65</v>
      </c>
      <c r="E17" s="37">
        <f>E18+E19</f>
        <v>0</v>
      </c>
      <c r="F17" s="37">
        <f>F18+F19</f>
        <v>1517544.1500000001</v>
      </c>
      <c r="G17" s="38">
        <f>SUM(C17:F17)</f>
        <v>29548569.47</v>
      </c>
      <c r="H17" s="37">
        <f>H18+H19</f>
        <v>0</v>
      </c>
      <c r="I17" s="37">
        <f>I18+I19</f>
        <v>6217267.12</v>
      </c>
      <c r="J17" s="37">
        <f>J18+J19</f>
        <v>0</v>
      </c>
      <c r="K17" s="37">
        <f>K18+K19</f>
        <v>1724660.72</v>
      </c>
      <c r="L17" s="38">
        <f>SUM(H17:K17)</f>
        <v>7941927.84</v>
      </c>
      <c r="M17" s="143">
        <f>M18+M19</f>
        <v>0</v>
      </c>
      <c r="N17" s="157">
        <f>N18+N19</f>
        <v>0</v>
      </c>
      <c r="O17" s="37">
        <f>O18+O19</f>
        <v>0</v>
      </c>
      <c r="P17" s="157">
        <f>P18+P19</f>
        <v>0</v>
      </c>
      <c r="Q17" s="159">
        <f>SUM(M17:P17)</f>
        <v>0</v>
      </c>
      <c r="R17" s="39">
        <f>G17+L17+Q17</f>
        <v>37490497.31</v>
      </c>
      <c r="S17" s="37">
        <f>S18+S19</f>
        <v>0</v>
      </c>
      <c r="T17" s="37">
        <f>T18+T19</f>
        <v>0</v>
      </c>
      <c r="U17" s="37">
        <f>U18+U19</f>
        <v>0</v>
      </c>
      <c r="V17" s="37">
        <f>V18+V19</f>
        <v>0</v>
      </c>
      <c r="W17" s="38">
        <f>SUM(S17:V17)</f>
        <v>0</v>
      </c>
      <c r="X17" s="37">
        <f>X18+X19</f>
        <v>5885445.67</v>
      </c>
      <c r="Y17" s="37">
        <f>Y18+Y19</f>
        <v>28362846.770000003</v>
      </c>
      <c r="Z17" s="37">
        <f>Z18+Z19</f>
        <v>0</v>
      </c>
      <c r="AA17" s="37">
        <f>AA18+AA19</f>
        <v>3242204.87</v>
      </c>
      <c r="AB17" s="38">
        <f>SUM(X17:AA17)</f>
        <v>37490497.31</v>
      </c>
      <c r="AC17" s="40"/>
    </row>
    <row r="18" spans="1:31" ht="15.75">
      <c r="A18" s="252" t="s">
        <v>25</v>
      </c>
      <c r="B18" s="253"/>
      <c r="C18" s="148">
        <v>5747618.75</v>
      </c>
      <c r="D18" s="149">
        <v>18793726.66</v>
      </c>
      <c r="E18" s="150"/>
      <c r="F18" s="150">
        <v>1459784.56</v>
      </c>
      <c r="G18" s="38">
        <f aca="true" t="shared" si="0" ref="G18:G24">SUM(C18:F18)</f>
        <v>26001129.97</v>
      </c>
      <c r="H18" s="155">
        <v>0</v>
      </c>
      <c r="I18" s="148">
        <v>4824110.96</v>
      </c>
      <c r="J18" s="154"/>
      <c r="K18" s="154">
        <v>1724660.72</v>
      </c>
      <c r="L18" s="38">
        <f aca="true" t="shared" si="1" ref="L18:L24">SUM(H18:K18)</f>
        <v>6548771.68</v>
      </c>
      <c r="M18" s="144"/>
      <c r="N18" s="41"/>
      <c r="O18" s="41"/>
      <c r="P18" s="41"/>
      <c r="Q18" s="159">
        <f aca="true" t="shared" si="2" ref="Q18:Q24">SUM(M18:P18)</f>
        <v>0</v>
      </c>
      <c r="R18" s="39">
        <f aca="true" t="shared" si="3" ref="R18:R24">G18+L18+Q18</f>
        <v>32549901.65</v>
      </c>
      <c r="S18" s="41"/>
      <c r="T18" s="41"/>
      <c r="U18" s="41"/>
      <c r="V18" s="41"/>
      <c r="W18" s="159">
        <f aca="true" t="shared" si="4" ref="W18:W24">SUM(S18:V18)</f>
        <v>0</v>
      </c>
      <c r="X18" s="41">
        <f>C18+H18+M18+S18</f>
        <v>5747618.75</v>
      </c>
      <c r="Y18" s="41">
        <f aca="true" t="shared" si="5" ref="Y18:AA24">D18+I18+N18+T18</f>
        <v>23617837.62</v>
      </c>
      <c r="Z18" s="41">
        <f t="shared" si="5"/>
        <v>0</v>
      </c>
      <c r="AA18" s="41">
        <f t="shared" si="5"/>
        <v>3184445.2800000003</v>
      </c>
      <c r="AB18" s="38">
        <f aca="true" t="shared" si="6" ref="AB18:AB24">SUM(X18:AA18)</f>
        <v>32549901.650000002</v>
      </c>
      <c r="AC18" s="42"/>
      <c r="AE18" s="128"/>
    </row>
    <row r="19" spans="1:29" ht="15.75">
      <c r="A19" s="192" t="s">
        <v>26</v>
      </c>
      <c r="B19" s="193"/>
      <c r="C19" s="150">
        <v>137826.92</v>
      </c>
      <c r="D19" s="151">
        <v>3351852.99</v>
      </c>
      <c r="E19" s="150"/>
      <c r="F19" s="150">
        <v>57759.59</v>
      </c>
      <c r="G19" s="38">
        <f t="shared" si="0"/>
        <v>3547439.5</v>
      </c>
      <c r="H19" s="150">
        <v>0</v>
      </c>
      <c r="I19" s="151">
        <v>1393156.16</v>
      </c>
      <c r="J19" s="150"/>
      <c r="K19" s="150">
        <v>0</v>
      </c>
      <c r="L19" s="38">
        <f t="shared" si="1"/>
        <v>1393156.16</v>
      </c>
      <c r="M19" s="144"/>
      <c r="N19" s="41"/>
      <c r="O19" s="41"/>
      <c r="P19" s="41"/>
      <c r="Q19" s="159">
        <f t="shared" si="2"/>
        <v>0</v>
      </c>
      <c r="R19" s="39">
        <f t="shared" si="3"/>
        <v>4940595.66</v>
      </c>
      <c r="S19" s="41"/>
      <c r="T19" s="41"/>
      <c r="U19" s="41"/>
      <c r="V19" s="41"/>
      <c r="W19" s="159">
        <f t="shared" si="4"/>
        <v>0</v>
      </c>
      <c r="X19" s="41">
        <f aca="true" t="shared" si="7" ref="X19:X24">C19+H19+M19+S19</f>
        <v>137826.92</v>
      </c>
      <c r="Y19" s="41">
        <f t="shared" si="5"/>
        <v>4745009.15</v>
      </c>
      <c r="Z19" s="41">
        <f t="shared" si="5"/>
        <v>0</v>
      </c>
      <c r="AA19" s="41">
        <f t="shared" si="5"/>
        <v>57759.59</v>
      </c>
      <c r="AB19" s="38">
        <f t="shared" si="6"/>
        <v>4940595.66</v>
      </c>
      <c r="AC19" s="42"/>
    </row>
    <row r="20" spans="1:29" ht="15.75">
      <c r="A20" s="191" t="s">
        <v>27</v>
      </c>
      <c r="B20" s="193"/>
      <c r="C20" s="150"/>
      <c r="D20" s="152"/>
      <c r="E20" s="150"/>
      <c r="F20" s="150"/>
      <c r="G20" s="38">
        <f t="shared" si="0"/>
        <v>0</v>
      </c>
      <c r="H20" s="150"/>
      <c r="I20" s="150"/>
      <c r="J20" s="150"/>
      <c r="K20" s="150"/>
      <c r="L20" s="38">
        <f t="shared" si="1"/>
        <v>0</v>
      </c>
      <c r="M20" s="144"/>
      <c r="N20" s="41"/>
      <c r="O20" s="41"/>
      <c r="P20" s="41"/>
      <c r="Q20" s="159">
        <f t="shared" si="2"/>
        <v>0</v>
      </c>
      <c r="R20" s="39">
        <f t="shared" si="3"/>
        <v>0</v>
      </c>
      <c r="S20" s="41"/>
      <c r="T20" s="41"/>
      <c r="U20" s="41"/>
      <c r="V20" s="41"/>
      <c r="W20" s="159">
        <f t="shared" si="4"/>
        <v>0</v>
      </c>
      <c r="X20" s="41">
        <f t="shared" si="7"/>
        <v>0</v>
      </c>
      <c r="Y20" s="41">
        <f t="shared" si="5"/>
        <v>0</v>
      </c>
      <c r="Z20" s="41">
        <f t="shared" si="5"/>
        <v>0</v>
      </c>
      <c r="AA20" s="41">
        <f t="shared" si="5"/>
        <v>0</v>
      </c>
      <c r="AB20" s="38">
        <f t="shared" si="6"/>
        <v>0</v>
      </c>
      <c r="AC20" s="42"/>
    </row>
    <row r="21" spans="1:31" ht="15.75">
      <c r="A21" s="191" t="s">
        <v>28</v>
      </c>
      <c r="B21" s="194"/>
      <c r="C21" s="148">
        <v>779190.36</v>
      </c>
      <c r="D21" s="155">
        <v>346874.35</v>
      </c>
      <c r="E21" s="148"/>
      <c r="F21" s="155">
        <v>73346.85</v>
      </c>
      <c r="G21" s="38">
        <f t="shared" si="0"/>
        <v>1199411.56</v>
      </c>
      <c r="H21" s="150"/>
      <c r="I21" s="155">
        <v>276296.45</v>
      </c>
      <c r="J21" s="148"/>
      <c r="K21" s="155">
        <v>1339.28</v>
      </c>
      <c r="L21" s="38">
        <f t="shared" si="1"/>
        <v>277635.73000000004</v>
      </c>
      <c r="M21" s="147"/>
      <c r="N21" s="87"/>
      <c r="O21" s="41"/>
      <c r="P21" s="41"/>
      <c r="Q21" s="159">
        <f t="shared" si="2"/>
        <v>0</v>
      </c>
      <c r="R21" s="39">
        <f t="shared" si="3"/>
        <v>1477047.29</v>
      </c>
      <c r="S21" s="41"/>
      <c r="T21" s="41"/>
      <c r="U21" s="41"/>
      <c r="V21" s="41"/>
      <c r="W21" s="159">
        <f t="shared" si="4"/>
        <v>0</v>
      </c>
      <c r="X21" s="41">
        <f t="shared" si="7"/>
        <v>779190.36</v>
      </c>
      <c r="Y21" s="41">
        <f t="shared" si="5"/>
        <v>623170.8</v>
      </c>
      <c r="Z21" s="41">
        <f>E21+J21+O21+U21</f>
        <v>0</v>
      </c>
      <c r="AA21" s="41">
        <f t="shared" si="5"/>
        <v>74686.13</v>
      </c>
      <c r="AB21" s="38">
        <f t="shared" si="6"/>
        <v>1477047.29</v>
      </c>
      <c r="AC21" s="42"/>
      <c r="AE21" s="128"/>
    </row>
    <row r="22" spans="1:29" ht="15.75">
      <c r="A22" s="191" t="s">
        <v>29</v>
      </c>
      <c r="B22" s="194"/>
      <c r="C22" s="150"/>
      <c r="D22" s="152"/>
      <c r="E22" s="150"/>
      <c r="F22" s="150"/>
      <c r="G22" s="38">
        <f t="shared" si="0"/>
        <v>0</v>
      </c>
      <c r="H22" s="150"/>
      <c r="I22" s="150"/>
      <c r="J22" s="150"/>
      <c r="K22" s="150"/>
      <c r="L22" s="38">
        <f t="shared" si="1"/>
        <v>0</v>
      </c>
      <c r="M22" s="144"/>
      <c r="N22" s="41"/>
      <c r="O22" s="41"/>
      <c r="P22" s="41"/>
      <c r="Q22" s="159">
        <f t="shared" si="2"/>
        <v>0</v>
      </c>
      <c r="R22" s="39">
        <f t="shared" si="3"/>
        <v>0</v>
      </c>
      <c r="S22" s="41"/>
      <c r="T22" s="41"/>
      <c r="U22" s="41"/>
      <c r="V22" s="41"/>
      <c r="W22" s="159">
        <f t="shared" si="4"/>
        <v>0</v>
      </c>
      <c r="X22" s="41">
        <f t="shared" si="7"/>
        <v>0</v>
      </c>
      <c r="Y22" s="41">
        <f t="shared" si="5"/>
        <v>0</v>
      </c>
      <c r="Z22" s="41">
        <f t="shared" si="5"/>
        <v>0</v>
      </c>
      <c r="AA22" s="41">
        <f t="shared" si="5"/>
        <v>0</v>
      </c>
      <c r="AB22" s="38">
        <f t="shared" si="6"/>
        <v>0</v>
      </c>
      <c r="AC22" s="42"/>
    </row>
    <row r="23" spans="1:29" ht="15.75">
      <c r="A23" s="191" t="s">
        <v>30</v>
      </c>
      <c r="B23" s="194"/>
      <c r="C23" s="150"/>
      <c r="D23" s="152"/>
      <c r="E23" s="150"/>
      <c r="F23" s="150"/>
      <c r="G23" s="38">
        <f t="shared" si="0"/>
        <v>0</v>
      </c>
      <c r="H23" s="150"/>
      <c r="I23" s="150"/>
      <c r="J23" s="150"/>
      <c r="K23" s="150"/>
      <c r="L23" s="38">
        <f t="shared" si="1"/>
        <v>0</v>
      </c>
      <c r="M23" s="144"/>
      <c r="N23" s="41"/>
      <c r="O23" s="41"/>
      <c r="P23" s="41"/>
      <c r="Q23" s="159">
        <f t="shared" si="2"/>
        <v>0</v>
      </c>
      <c r="R23" s="39">
        <f t="shared" si="3"/>
        <v>0</v>
      </c>
      <c r="S23" s="41"/>
      <c r="T23" s="41"/>
      <c r="U23" s="41"/>
      <c r="V23" s="41"/>
      <c r="W23" s="159">
        <f t="shared" si="4"/>
        <v>0</v>
      </c>
      <c r="X23" s="41">
        <f t="shared" si="7"/>
        <v>0</v>
      </c>
      <c r="Y23" s="41">
        <f t="shared" si="5"/>
        <v>0</v>
      </c>
      <c r="Z23" s="41">
        <f t="shared" si="5"/>
        <v>0</v>
      </c>
      <c r="AA23" s="41">
        <f t="shared" si="5"/>
        <v>0</v>
      </c>
      <c r="AB23" s="38">
        <f t="shared" si="6"/>
        <v>0</v>
      </c>
      <c r="AC23" s="42"/>
    </row>
    <row r="24" spans="1:29" ht="15.75">
      <c r="A24" s="191" t="s">
        <v>31</v>
      </c>
      <c r="B24" s="194"/>
      <c r="C24" s="153"/>
      <c r="D24" s="152"/>
      <c r="E24" s="150"/>
      <c r="F24" s="150"/>
      <c r="G24" s="38">
        <f t="shared" si="0"/>
        <v>0</v>
      </c>
      <c r="H24" s="150"/>
      <c r="I24" s="150"/>
      <c r="J24" s="150"/>
      <c r="K24" s="150"/>
      <c r="L24" s="177">
        <f t="shared" si="1"/>
        <v>0</v>
      </c>
      <c r="M24" s="144"/>
      <c r="N24" s="41"/>
      <c r="O24" s="41"/>
      <c r="P24" s="41"/>
      <c r="Q24" s="159">
        <f t="shared" si="2"/>
        <v>0</v>
      </c>
      <c r="R24" s="39">
        <f t="shared" si="3"/>
        <v>0</v>
      </c>
      <c r="S24" s="41"/>
      <c r="T24" s="41"/>
      <c r="U24" s="41"/>
      <c r="V24" s="41"/>
      <c r="W24" s="159">
        <f t="shared" si="4"/>
        <v>0</v>
      </c>
      <c r="X24" s="41">
        <f t="shared" si="7"/>
        <v>0</v>
      </c>
      <c r="Y24" s="41">
        <f t="shared" si="5"/>
        <v>0</v>
      </c>
      <c r="Z24" s="41">
        <f t="shared" si="5"/>
        <v>0</v>
      </c>
      <c r="AA24" s="41">
        <f t="shared" si="5"/>
        <v>0</v>
      </c>
      <c r="AB24" s="38">
        <f t="shared" si="6"/>
        <v>0</v>
      </c>
      <c r="AC24" s="42"/>
    </row>
    <row r="25" spans="1:29" ht="16.5" thickBot="1">
      <c r="A25" s="47"/>
      <c r="B25" s="194" t="s">
        <v>32</v>
      </c>
      <c r="C25" s="146">
        <f>C17+C21+C22+C24+C20+C23</f>
        <v>6664636.03</v>
      </c>
      <c r="D25" s="146">
        <f>D17+D21+D22+D24+D20+D23</f>
        <v>22492454</v>
      </c>
      <c r="E25" s="146">
        <f>E17+E21+E22+E24+E20+E23</f>
        <v>0</v>
      </c>
      <c r="F25" s="146">
        <f>F17+F21+F22+F24+F20+F23</f>
        <v>1590891.0000000002</v>
      </c>
      <c r="G25" s="146">
        <f>G17+G21+G22+G24+G20+G23</f>
        <v>30747981.029999997</v>
      </c>
      <c r="H25" s="146">
        <f>H17+H21+H22+H24+H20+H23</f>
        <v>0</v>
      </c>
      <c r="I25" s="146">
        <f>I17+I21+I22+I24+I20+I23</f>
        <v>6493563.57</v>
      </c>
      <c r="J25" s="146">
        <f>J17+J21+J22+J24+J20+J23</f>
        <v>0</v>
      </c>
      <c r="K25" s="146">
        <f>K17+K21+K22+K24+K20+K23</f>
        <v>1726000</v>
      </c>
      <c r="L25" s="146">
        <f>L17+L21+L22+L24+L20+L23</f>
        <v>8219563.57</v>
      </c>
      <c r="M25" s="146">
        <f>M17+M21+M22+M24+M20+M23</f>
        <v>0</v>
      </c>
      <c r="N25" s="160">
        <f>N17+N21+N22+N24+N20+N23</f>
        <v>0</v>
      </c>
      <c r="O25" s="146">
        <f>O17+O21+O22+O24+O20+O23</f>
        <v>0</v>
      </c>
      <c r="P25" s="160">
        <f>P17+P21+P22+P24+P20+P23</f>
        <v>0</v>
      </c>
      <c r="Q25" s="160">
        <f>Q17+Q21+Q22+Q24+Q20+Q23</f>
        <v>0</v>
      </c>
      <c r="R25" s="146">
        <f>R17+R21+R22+R24</f>
        <v>38967544.6</v>
      </c>
      <c r="S25" s="146">
        <f>S17+S21+S22+S24+S20+S23</f>
        <v>0</v>
      </c>
      <c r="T25" s="146">
        <f>T17+T21+T22+T24+T20+T23</f>
        <v>0</v>
      </c>
      <c r="U25" s="146">
        <f>U17+U21+U22+U24+U20+U23</f>
        <v>0</v>
      </c>
      <c r="V25" s="146">
        <f>V17+V21+V22+V24+V20+V23</f>
        <v>0</v>
      </c>
      <c r="W25" s="146">
        <f>W17+W21+W22+W24+W20+W23</f>
        <v>0</v>
      </c>
      <c r="X25" s="146">
        <f>X17+X21+X22+X24+X20+X23</f>
        <v>6664636.03</v>
      </c>
      <c r="Y25" s="146">
        <f>Y17+Y21+Y22+Y24+Y20+Y23</f>
        <v>28986017.570000004</v>
      </c>
      <c r="Z25" s="146">
        <f>Z17+Z21+Z22+Z24+Z20+Z23</f>
        <v>0</v>
      </c>
      <c r="AA25" s="146">
        <f>AA17+AA21+AA22+AA24+AA20+AA23</f>
        <v>3316891</v>
      </c>
      <c r="AB25" s="146">
        <f>AB17+AB21+AB22+AB24+AB20+AB23</f>
        <v>38967544.6</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94" t="s">
        <v>33</v>
      </c>
      <c r="H28" s="62"/>
      <c r="I28" s="62"/>
      <c r="J28" s="62"/>
      <c r="K28" s="62"/>
      <c r="L28" s="63"/>
      <c r="M28" s="63"/>
      <c r="N28" s="63"/>
      <c r="O28" s="63"/>
      <c r="P28" s="63"/>
      <c r="Q28" s="63"/>
      <c r="R28" s="63"/>
      <c r="S28" s="64"/>
      <c r="AC28" s="65"/>
    </row>
    <row r="29" spans="1:29" ht="26.25">
      <c r="A29" s="194"/>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170">
        <f>SUM(D31:D36)</f>
        <v>925666060.66</v>
      </c>
      <c r="E30" s="170">
        <f>SUM(E31:E36)</f>
        <v>137621047.29</v>
      </c>
      <c r="F30" s="62"/>
      <c r="G30" s="170">
        <f>SUM(G31:G36)</f>
        <v>1063287107.95</v>
      </c>
      <c r="H30" s="62"/>
      <c r="I30" s="254" t="s">
        <v>52</v>
      </c>
      <c r="J30" s="67" t="s">
        <v>38</v>
      </c>
      <c r="K30" s="62"/>
      <c r="L30" s="170">
        <f>+'101 sept'!P30</f>
        <v>905865926</v>
      </c>
      <c r="M30" s="68"/>
      <c r="N30" s="68">
        <f>N34+N42</f>
        <v>136144000</v>
      </c>
      <c r="O30" s="68"/>
      <c r="P30" s="170">
        <f>L30+N30</f>
        <v>1042009926</v>
      </c>
      <c r="AC30" s="65"/>
    </row>
    <row r="31" spans="1:29" ht="15.75">
      <c r="A31" s="69"/>
      <c r="B31" s="66" t="s">
        <v>39</v>
      </c>
      <c r="C31" s="68"/>
      <c r="D31" s="170">
        <f>+'101 sept'!G31</f>
        <v>895833926</v>
      </c>
      <c r="E31" s="170">
        <f>135661000+483000</f>
        <v>136144000</v>
      </c>
      <c r="F31" s="62"/>
      <c r="G31" s="179">
        <f>C31+E31+D31</f>
        <v>1031977926</v>
      </c>
      <c r="H31" s="62"/>
      <c r="I31" s="254"/>
      <c r="J31" s="64" t="s">
        <v>40</v>
      </c>
      <c r="K31" s="62"/>
      <c r="L31" s="172">
        <f>+'101 sept'!P31</f>
        <v>924814233.1414</v>
      </c>
      <c r="M31" s="70"/>
      <c r="N31" s="70">
        <f>+N35+N39+N43</f>
        <v>38967544.599999994</v>
      </c>
      <c r="O31" s="70"/>
      <c r="P31" s="171">
        <f>L31+N31</f>
        <v>963781777.7414</v>
      </c>
      <c r="AC31" s="65"/>
    </row>
    <row r="32" spans="1:29" ht="16.5" thickBot="1">
      <c r="A32" s="69"/>
      <c r="B32" s="66" t="s">
        <v>67</v>
      </c>
      <c r="C32" s="62"/>
      <c r="D32" s="170"/>
      <c r="E32" s="170"/>
      <c r="F32" s="62"/>
      <c r="G32" s="63">
        <f aca="true" t="shared" si="8" ref="G32:G38">C32+E32+D32</f>
        <v>0</v>
      </c>
      <c r="H32" s="62"/>
      <c r="I32" s="254"/>
      <c r="J32" s="64" t="s">
        <v>41</v>
      </c>
      <c r="K32" s="62"/>
      <c r="L32" s="168">
        <f>L30-L31</f>
        <v>-18948307.14139998</v>
      </c>
      <c r="M32" s="70"/>
      <c r="N32" s="168">
        <f>N30-N31</f>
        <v>97176455.4</v>
      </c>
      <c r="O32" s="70"/>
      <c r="P32" s="169">
        <f>P30-P31</f>
        <v>78228148.2586</v>
      </c>
      <c r="AC32" s="65"/>
    </row>
    <row r="33" spans="1:29" ht="16.5" thickTop="1">
      <c r="A33" s="69"/>
      <c r="B33" s="66" t="s">
        <v>42</v>
      </c>
      <c r="C33" s="62"/>
      <c r="D33" s="170">
        <f>+'101 sept'!G33</f>
        <v>29832134.659999996</v>
      </c>
      <c r="E33" s="170">
        <f>+AB21</f>
        <v>1477047.29</v>
      </c>
      <c r="F33" s="62"/>
      <c r="G33" s="179">
        <f t="shared" si="8"/>
        <v>31309181.949999996</v>
      </c>
      <c r="H33" s="62"/>
      <c r="I33" s="76"/>
      <c r="J33" s="64"/>
      <c r="K33" s="62"/>
      <c r="L33" s="172"/>
      <c r="M33" s="64"/>
      <c r="N33" s="64"/>
      <c r="O33" s="64"/>
      <c r="P33" s="172"/>
      <c r="R33" s="140" t="s">
        <v>58</v>
      </c>
      <c r="X33" s="140" t="s">
        <v>60</v>
      </c>
      <c r="AC33" s="65"/>
    </row>
    <row r="34" spans="1:29" ht="15" customHeight="1">
      <c r="A34" s="69"/>
      <c r="B34" s="66" t="s">
        <v>43</v>
      </c>
      <c r="C34" s="62"/>
      <c r="D34" s="62"/>
      <c r="E34" s="170"/>
      <c r="F34" s="62"/>
      <c r="G34" s="63">
        <f t="shared" si="8"/>
        <v>0</v>
      </c>
      <c r="H34" s="62"/>
      <c r="I34" s="254" t="s">
        <v>53</v>
      </c>
      <c r="J34" s="67" t="s">
        <v>38</v>
      </c>
      <c r="K34" s="62"/>
      <c r="L34" s="170">
        <f>+'101 sept'!P34</f>
        <v>883235926</v>
      </c>
      <c r="M34" s="68"/>
      <c r="N34" s="68">
        <f>E31</f>
        <v>136144000</v>
      </c>
      <c r="O34" s="68"/>
      <c r="P34" s="170">
        <f>L34+N34</f>
        <v>1019379926</v>
      </c>
      <c r="AC34" s="65"/>
    </row>
    <row r="35" spans="1:29" ht="15.75">
      <c r="A35" s="69"/>
      <c r="B35" s="66" t="s">
        <v>44</v>
      </c>
      <c r="C35" s="62"/>
      <c r="D35" s="62"/>
      <c r="E35" s="62"/>
      <c r="F35" s="62"/>
      <c r="G35" s="63">
        <f t="shared" si="8"/>
        <v>0</v>
      </c>
      <c r="H35" s="62"/>
      <c r="I35" s="254"/>
      <c r="J35" s="64" t="s">
        <v>40</v>
      </c>
      <c r="K35" s="62"/>
      <c r="L35" s="172">
        <f>+'101 sept'!P35</f>
        <v>429682966.66139996</v>
      </c>
      <c r="M35" s="70"/>
      <c r="N35" s="70">
        <f>+G25</f>
        <v>30747981.029999997</v>
      </c>
      <c r="O35" s="70"/>
      <c r="P35" s="171">
        <f>L35+N35</f>
        <v>460430947.69139993</v>
      </c>
      <c r="AC35" s="65"/>
    </row>
    <row r="36" spans="1:29" ht="16.5" thickBot="1">
      <c r="A36" s="69"/>
      <c r="B36" s="66" t="s">
        <v>45</v>
      </c>
      <c r="C36" s="62"/>
      <c r="D36" s="62"/>
      <c r="E36" s="62"/>
      <c r="F36" s="62"/>
      <c r="G36" s="63">
        <f t="shared" si="8"/>
        <v>0</v>
      </c>
      <c r="H36" s="62"/>
      <c r="I36" s="254"/>
      <c r="J36" s="64" t="s">
        <v>41</v>
      </c>
      <c r="K36" s="62"/>
      <c r="L36" s="168">
        <f>L34-L35</f>
        <v>453552959.33860004</v>
      </c>
      <c r="M36" s="70"/>
      <c r="N36" s="72">
        <f>N34-N35</f>
        <v>105396018.97</v>
      </c>
      <c r="O36" s="70"/>
      <c r="P36" s="169">
        <f>P34-P35</f>
        <v>558948978.3086001</v>
      </c>
      <c r="AC36" s="65"/>
    </row>
    <row r="37" spans="1:29" ht="16.5" thickTop="1">
      <c r="A37" s="74" t="s">
        <v>46</v>
      </c>
      <c r="B37" s="66"/>
      <c r="C37" s="62"/>
      <c r="D37" s="62"/>
      <c r="E37" s="62"/>
      <c r="F37" s="62"/>
      <c r="G37" s="63">
        <f t="shared" si="8"/>
        <v>0</v>
      </c>
      <c r="H37" s="62"/>
      <c r="I37" s="76"/>
      <c r="J37" s="64"/>
      <c r="K37" s="62"/>
      <c r="L37" s="172"/>
      <c r="M37" s="64"/>
      <c r="N37" s="64"/>
      <c r="O37" s="64"/>
      <c r="P37" s="172"/>
      <c r="R37" s="140" t="s">
        <v>81</v>
      </c>
      <c r="X37" s="259" t="s">
        <v>90</v>
      </c>
      <c r="Y37" s="259"/>
      <c r="AB37" s="64"/>
      <c r="AC37" s="65"/>
    </row>
    <row r="38" spans="1:29" ht="15" customHeight="1">
      <c r="A38" s="74" t="s">
        <v>47</v>
      </c>
      <c r="B38" s="66"/>
      <c r="C38" s="62"/>
      <c r="D38" s="62"/>
      <c r="E38" s="62"/>
      <c r="F38" s="62"/>
      <c r="G38" s="63">
        <f t="shared" si="8"/>
        <v>0</v>
      </c>
      <c r="H38" s="62"/>
      <c r="I38" s="254" t="s">
        <v>54</v>
      </c>
      <c r="J38" s="67" t="s">
        <v>38</v>
      </c>
      <c r="K38" s="62"/>
      <c r="L38" s="170"/>
      <c r="M38" s="68"/>
      <c r="N38" s="68"/>
      <c r="O38" s="68"/>
      <c r="P38" s="170">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f>+O25</f>
        <v>0</v>
      </c>
      <c r="M39" s="70"/>
      <c r="N39" s="70">
        <f>+Q25</f>
        <v>0</v>
      </c>
      <c r="O39" s="70"/>
      <c r="P39" s="70">
        <f>+S25</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2">
        <f>P38-P39</f>
        <v>0</v>
      </c>
      <c r="AB40" s="64"/>
      <c r="AC40" s="65"/>
    </row>
    <row r="41" spans="1:29" ht="16.5" thickTop="1">
      <c r="A41" s="66" t="s">
        <v>48</v>
      </c>
      <c r="B41" s="66"/>
      <c r="C41" s="62">
        <f>C30-C37+C38-C39+C40</f>
        <v>0</v>
      </c>
      <c r="D41" s="170">
        <f>D30-D37+D38-D39+D40</f>
        <v>925666060.66</v>
      </c>
      <c r="E41" s="170">
        <f>E30-E37+E38-E39+E40</f>
        <v>137621047.29</v>
      </c>
      <c r="F41" s="62"/>
      <c r="G41" s="170">
        <f>G30-G37+G38-G39+G40</f>
        <v>1063287107.95</v>
      </c>
      <c r="H41" s="62"/>
      <c r="I41" s="76"/>
      <c r="J41" s="64"/>
      <c r="K41" s="62"/>
      <c r="L41" s="172"/>
      <c r="M41" s="64"/>
      <c r="N41" s="64"/>
      <c r="O41" s="64"/>
      <c r="P41" s="172"/>
      <c r="AB41" s="64"/>
      <c r="AC41" s="65"/>
    </row>
    <row r="42" spans="1:29" ht="15" customHeight="1">
      <c r="A42" s="74" t="s">
        <v>51</v>
      </c>
      <c r="B42" s="66"/>
      <c r="C42" s="62"/>
      <c r="D42" s="170">
        <f>+'101 sept'!G42</f>
        <v>851827.52</v>
      </c>
      <c r="E42" s="170"/>
      <c r="F42" s="62"/>
      <c r="G42" s="179">
        <f>C42+E42+D42</f>
        <v>851827.52</v>
      </c>
      <c r="H42" s="62"/>
      <c r="I42" s="254" t="s">
        <v>55</v>
      </c>
      <c r="J42" s="67" t="s">
        <v>38</v>
      </c>
      <c r="K42" s="62"/>
      <c r="L42" s="170">
        <f>+'101 sept'!P42</f>
        <v>22630000</v>
      </c>
      <c r="M42" s="68"/>
      <c r="N42" s="68">
        <v>0</v>
      </c>
      <c r="O42" s="68"/>
      <c r="P42" s="170">
        <f>L42+N42</f>
        <v>22630000</v>
      </c>
      <c r="AB42" s="64"/>
      <c r="AC42" s="65"/>
    </row>
    <row r="43" spans="1:29" ht="15.75">
      <c r="A43" s="69"/>
      <c r="B43" s="66" t="s">
        <v>49</v>
      </c>
      <c r="C43" s="62"/>
      <c r="D43" s="170">
        <f>+'101 sept'!G43</f>
        <v>924814233.1414001</v>
      </c>
      <c r="E43" s="170">
        <f>AB25</f>
        <v>38967544.6</v>
      </c>
      <c r="F43" s="62"/>
      <c r="G43" s="179">
        <f>C43+E43+D43</f>
        <v>963781777.7414001</v>
      </c>
      <c r="H43" s="62"/>
      <c r="I43" s="254"/>
      <c r="J43" s="64" t="s">
        <v>40</v>
      </c>
      <c r="K43" s="62"/>
      <c r="L43" s="172">
        <f>+'101 sept'!P43</f>
        <v>495131266.47999996</v>
      </c>
      <c r="M43" s="70"/>
      <c r="N43" s="70">
        <f>+L25</f>
        <v>8219563.57</v>
      </c>
      <c r="O43" s="70"/>
      <c r="P43" s="171">
        <f>L43+N43</f>
        <v>503350830.04999995</v>
      </c>
      <c r="AB43" s="64"/>
      <c r="AC43" s="65"/>
    </row>
    <row r="44" spans="1:29" ht="16.5" thickBot="1">
      <c r="A44" s="74" t="s">
        <v>50</v>
      </c>
      <c r="B44" s="49"/>
      <c r="C44" s="75">
        <f>C41-C42-C43</f>
        <v>0</v>
      </c>
      <c r="D44" s="75">
        <f>D41-D42-D43</f>
        <v>-0.0014001131057739258</v>
      </c>
      <c r="E44" s="178">
        <f>E41-E42-E43</f>
        <v>98653502.69</v>
      </c>
      <c r="F44" s="62"/>
      <c r="G44" s="75">
        <f>G41-G42-G43</f>
        <v>98653502.68859994</v>
      </c>
      <c r="H44" s="62"/>
      <c r="I44" s="254"/>
      <c r="J44" s="64" t="s">
        <v>41</v>
      </c>
      <c r="K44" s="62"/>
      <c r="L44" s="168">
        <f>L42-L43</f>
        <v>-472501266.47999996</v>
      </c>
      <c r="M44" s="70"/>
      <c r="N44" s="168">
        <f>N42-N43</f>
        <v>-8219563.57</v>
      </c>
      <c r="O44" s="70"/>
      <c r="P44" s="169">
        <f>P42-P43</f>
        <v>-480720830.04999995</v>
      </c>
      <c r="AB44" s="64"/>
      <c r="AC44" s="65"/>
    </row>
    <row r="45" spans="1:7" ht="16.5" thickTop="1">
      <c r="A45" s="69"/>
      <c r="B45" s="49"/>
      <c r="C45" s="62"/>
      <c r="D45" s="62"/>
      <c r="E45" s="62"/>
      <c r="F45" s="62"/>
      <c r="G45" s="63"/>
    </row>
    <row r="46" spans="1:7" ht="15.75">
      <c r="A46" s="69"/>
      <c r="B46" s="194"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row r="56" ht="15.75">
      <c r="B56" s="190" t="s">
        <v>109</v>
      </c>
    </row>
    <row r="62" spans="2:4" ht="15.75">
      <c r="B62" s="60" t="s">
        <v>111</v>
      </c>
      <c r="D62" s="61">
        <v>0.69</v>
      </c>
    </row>
    <row r="63" spans="2:9" ht="15.75">
      <c r="B63" s="60" t="s">
        <v>110</v>
      </c>
      <c r="D63" s="61">
        <v>113.11</v>
      </c>
      <c r="F63" s="61" t="s">
        <v>101</v>
      </c>
      <c r="H63" s="61">
        <v>3000</v>
      </c>
      <c r="I63" s="61" t="s">
        <v>102</v>
      </c>
    </row>
    <row r="64" spans="2:6" ht="15.75">
      <c r="B64" s="60" t="s">
        <v>99</v>
      </c>
      <c r="D64" s="61">
        <f>26488.11-113.11</f>
        <v>26375</v>
      </c>
      <c r="F64" s="61" t="s">
        <v>104</v>
      </c>
    </row>
    <row r="65" spans="2:8" ht="15.75">
      <c r="B65" s="60" t="s">
        <v>100</v>
      </c>
      <c r="D65" s="61">
        <f>SUM(D62:D64)</f>
        <v>26488.8</v>
      </c>
      <c r="F65" s="61" t="s">
        <v>103</v>
      </c>
      <c r="H65" s="61">
        <v>23375</v>
      </c>
    </row>
    <row r="66" spans="6:9" ht="15.75">
      <c r="F66" s="61" t="s">
        <v>105</v>
      </c>
      <c r="G66" s="61">
        <f>7154+851.92</f>
        <v>8005.92</v>
      </c>
      <c r="I66" s="61" t="s">
        <v>106</v>
      </c>
    </row>
    <row r="67" ht="15.75">
      <c r="G67" s="61">
        <f>+G66-H63</f>
        <v>5005.92</v>
      </c>
    </row>
    <row r="68" ht="15.75">
      <c r="G68" s="61">
        <v>113.11</v>
      </c>
    </row>
    <row r="69" ht="15.75">
      <c r="G69" s="61">
        <f>+G67-G68</f>
        <v>4892.81</v>
      </c>
    </row>
    <row r="70" spans="2:4" ht="15.75">
      <c r="B70" s="60" t="s">
        <v>107</v>
      </c>
      <c r="D70" s="61">
        <v>2375</v>
      </c>
    </row>
    <row r="71" ht="15.75">
      <c r="D71" s="61">
        <v>21000</v>
      </c>
    </row>
    <row r="72" ht="15.75">
      <c r="D72" s="188">
        <v>3000</v>
      </c>
    </row>
    <row r="73" ht="15.75">
      <c r="D73" s="61">
        <f>SUM(D70:D72)</f>
        <v>26375</v>
      </c>
    </row>
    <row r="74" spans="2:4" ht="15.75">
      <c r="B74" s="60" t="s">
        <v>112</v>
      </c>
      <c r="D74" s="188">
        <f>113.11+0.69</f>
        <v>113.8</v>
      </c>
    </row>
    <row r="75" spans="2:4" ht="16.5" thickBot="1">
      <c r="B75" s="60" t="s">
        <v>108</v>
      </c>
      <c r="D75" s="189">
        <f>+D73+D74</f>
        <v>26488.8</v>
      </c>
    </row>
    <row r="76" ht="16.5" thickTop="1"/>
    <row r="100" spans="2:4" ht="15.75">
      <c r="B100" s="60" t="s">
        <v>114</v>
      </c>
      <c r="C100" s="61" t="s">
        <v>119</v>
      </c>
      <c r="D100" s="61" t="s">
        <v>120</v>
      </c>
    </row>
    <row r="101" spans="2:9" ht="15.75">
      <c r="B101" s="60" t="s">
        <v>116</v>
      </c>
      <c r="C101" s="61">
        <v>5747618.75</v>
      </c>
      <c r="D101" s="61">
        <v>137826.92</v>
      </c>
      <c r="I101" s="61">
        <f>+D101+C101</f>
        <v>5885445.67</v>
      </c>
    </row>
    <row r="102" spans="2:9" ht="15.75">
      <c r="B102" s="60" t="s">
        <v>117</v>
      </c>
      <c r="C102" s="61">
        <v>18793726.66</v>
      </c>
      <c r="D102" s="61">
        <v>3351852.99</v>
      </c>
      <c r="I102" s="61">
        <f>+D102+C102</f>
        <v>22145579.65</v>
      </c>
    </row>
    <row r="103" spans="2:9" ht="15.75">
      <c r="B103" s="60" t="s">
        <v>118</v>
      </c>
      <c r="C103" s="61">
        <v>1459784.56</v>
      </c>
      <c r="D103" s="61">
        <v>57759.59</v>
      </c>
      <c r="E103" s="61">
        <f>SUM(D101:D103)</f>
        <v>3547439.5</v>
      </c>
      <c r="F103" s="61">
        <f>SUM(C101:C103)</f>
        <v>26001129.97</v>
      </c>
      <c r="I103" s="61">
        <f>+D103+C103</f>
        <v>1517544.1500000001</v>
      </c>
    </row>
    <row r="106" ht="15.75">
      <c r="B106" s="60" t="s">
        <v>115</v>
      </c>
    </row>
    <row r="107" ht="15.75">
      <c r="B107" s="60" t="s">
        <v>116</v>
      </c>
    </row>
    <row r="108" spans="2:9" ht="15.75">
      <c r="B108" s="60" t="s">
        <v>117</v>
      </c>
      <c r="C108" s="61">
        <v>4824110.96</v>
      </c>
      <c r="D108" s="61">
        <v>1393156.16</v>
      </c>
      <c r="I108" s="61">
        <f>+D108+C108</f>
        <v>6217267.12</v>
      </c>
    </row>
    <row r="109" spans="2:9" ht="15.75">
      <c r="B109" s="60" t="s">
        <v>118</v>
      </c>
      <c r="C109" s="61">
        <v>1724660.72</v>
      </c>
      <c r="E109" s="61">
        <f>SUM(D107:D109)</f>
        <v>1393156.16</v>
      </c>
      <c r="F109" s="61">
        <f>SUM(C107:C109)</f>
        <v>6548771.68</v>
      </c>
      <c r="I109" s="61">
        <f>+D109+C109</f>
        <v>1724660.72</v>
      </c>
    </row>
    <row r="110" spans="5:9" ht="15.75">
      <c r="E110" s="61">
        <f>+E109+E103</f>
        <v>4940595.66</v>
      </c>
      <c r="F110" s="61">
        <f>+F109+F103</f>
        <v>32549901.65</v>
      </c>
      <c r="G110" s="61">
        <f>+E110+F110</f>
        <v>37490497.31</v>
      </c>
      <c r="I110" s="61">
        <f>+D110+C110</f>
        <v>0</v>
      </c>
    </row>
  </sheetData>
  <sheetProtection/>
  <mergeCells count="29">
    <mergeCell ref="A16:B16"/>
    <mergeCell ref="A17:B17"/>
    <mergeCell ref="A18:B18"/>
    <mergeCell ref="I30:I32"/>
    <mergeCell ref="I34:I36"/>
    <mergeCell ref="X15:AB15"/>
    <mergeCell ref="I38:I40"/>
    <mergeCell ref="R38:S38"/>
    <mergeCell ref="X38:Y38"/>
    <mergeCell ref="I42:I44"/>
    <mergeCell ref="X37:Y37"/>
    <mergeCell ref="A15:B15"/>
    <mergeCell ref="C15:G15"/>
    <mergeCell ref="H15:L15"/>
    <mergeCell ref="M15:Q15"/>
    <mergeCell ref="S15:W15"/>
    <mergeCell ref="AB1:AC1"/>
    <mergeCell ref="A2:AC2"/>
    <mergeCell ref="A3:AC3"/>
    <mergeCell ref="A4:AC4"/>
    <mergeCell ref="A12:B14"/>
    <mergeCell ref="C12:G13"/>
    <mergeCell ref="H12:Q12"/>
    <mergeCell ref="R12:R14"/>
    <mergeCell ref="S12:W13"/>
    <mergeCell ref="X12:AB13"/>
    <mergeCell ref="AC12:AC14"/>
    <mergeCell ref="H13:L13"/>
    <mergeCell ref="M13:Q13"/>
  </mergeCells>
  <printOptions horizontalCentered="1"/>
  <pageMargins left="0.79" right="0.79" top="0.75" bottom="0.75" header="0.3" footer="0.3"/>
  <pageSetup horizontalDpi="600" verticalDpi="600" orientation="landscape" paperSize="3" scale="60" r:id="rId1"/>
</worksheet>
</file>

<file path=xl/worksheets/sheet5.xml><?xml version="1.0" encoding="utf-8"?>
<worksheet xmlns="http://schemas.openxmlformats.org/spreadsheetml/2006/main" xmlns:r="http://schemas.openxmlformats.org/officeDocument/2006/relationships">
  <dimension ref="A1:AE75"/>
  <sheetViews>
    <sheetView zoomScaleSheetLayoutView="85" zoomScalePageLayoutView="0" workbookViewId="0" topLeftCell="A42">
      <selection activeCell="D41" sqref="D41"/>
    </sheetView>
  </sheetViews>
  <sheetFormatPr defaultColWidth="11.00390625" defaultRowHeight="15.75"/>
  <cols>
    <col min="1" max="1" width="2.875" style="60" customWidth="1"/>
    <col min="2" max="2" width="27.00390625" style="60" customWidth="1"/>
    <col min="3" max="3" width="12.125" style="61" customWidth="1"/>
    <col min="4" max="4" width="13.375" style="61" customWidth="1"/>
    <col min="5" max="5" width="13.25390625" style="61" customWidth="1"/>
    <col min="6" max="6" width="12.375" style="61" customWidth="1"/>
    <col min="7" max="7" width="13.75390625" style="61" customWidth="1"/>
    <col min="8" max="8" width="11.625" style="61" customWidth="1"/>
    <col min="9" max="9" width="12.625" style="61" customWidth="1"/>
    <col min="10" max="10" width="10.625" style="61" customWidth="1"/>
    <col min="11" max="11" width="13.00390625" style="61" customWidth="1"/>
    <col min="12" max="12" width="13.50390625" style="61" customWidth="1"/>
    <col min="13" max="13" width="4.125" style="61" customWidth="1"/>
    <col min="14" max="14" width="13.125" style="61" customWidth="1"/>
    <col min="15" max="15" width="4.25390625" style="61" customWidth="1"/>
    <col min="16" max="16" width="14.25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0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95</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37">
        <f>C18+C19</f>
        <v>7262911.160000001</v>
      </c>
      <c r="D17" s="143">
        <f>D18+D19</f>
        <v>106828134.18</v>
      </c>
      <c r="E17" s="37">
        <f>E18+E19</f>
        <v>20400</v>
      </c>
      <c r="F17" s="37">
        <f>F18+F19</f>
        <v>24688000.29</v>
      </c>
      <c r="G17" s="38">
        <f>SUM(C17:F17)</f>
        <v>138799445.63</v>
      </c>
      <c r="H17" s="37">
        <f>H18+H19</f>
        <v>81445.67</v>
      </c>
      <c r="I17" s="37">
        <f>I18+I19</f>
        <v>63380926.95</v>
      </c>
      <c r="J17" s="37">
        <f>J18+J19</f>
        <v>0</v>
      </c>
      <c r="K17" s="37">
        <f>K18+K19</f>
        <v>13677189.59</v>
      </c>
      <c r="L17" s="38">
        <f>SUM(H17:K17)</f>
        <v>77139562.21000001</v>
      </c>
      <c r="M17" s="143">
        <f>M18+M19</f>
        <v>0</v>
      </c>
      <c r="N17" s="157">
        <f>N18+N19</f>
        <v>0</v>
      </c>
      <c r="O17" s="37">
        <f>O18+O19</f>
        <v>0</v>
      </c>
      <c r="P17" s="157">
        <f>P18+P19</f>
        <v>0</v>
      </c>
      <c r="Q17" s="159">
        <f>SUM(M17:P17)</f>
        <v>0</v>
      </c>
      <c r="R17" s="39">
        <f>G17+L17+Q17</f>
        <v>215939007.84</v>
      </c>
      <c r="S17" s="37">
        <f>S18+S19</f>
        <v>0</v>
      </c>
      <c r="T17" s="37">
        <f>T18+T19</f>
        <v>0</v>
      </c>
      <c r="U17" s="37">
        <f>U18+U19</f>
        <v>0</v>
      </c>
      <c r="V17" s="37">
        <f>V18+V19</f>
        <v>0</v>
      </c>
      <c r="W17" s="38">
        <f>SUM(S17:V17)</f>
        <v>0</v>
      </c>
      <c r="X17" s="37">
        <f>X18+X19</f>
        <v>7344356.830000001</v>
      </c>
      <c r="Y17" s="37">
        <f>Y18+Y19</f>
        <v>170209061.13000003</v>
      </c>
      <c r="Z17" s="37">
        <f>Z18+Z19</f>
        <v>20400</v>
      </c>
      <c r="AA17" s="37">
        <f>AA18+AA19</f>
        <v>38365189.879999995</v>
      </c>
      <c r="AB17" s="38">
        <f>SUM(X17:AA17)</f>
        <v>215939007.84000003</v>
      </c>
      <c r="AC17" s="40"/>
    </row>
    <row r="18" spans="1:31" ht="15.75">
      <c r="A18" s="252" t="s">
        <v>25</v>
      </c>
      <c r="B18" s="253"/>
      <c r="C18" s="148">
        <f>6237905.57-851.92+889231.31</f>
        <v>7126284.960000001</v>
      </c>
      <c r="D18" s="149">
        <f>96668628.2-7154</f>
        <v>96661474.2</v>
      </c>
      <c r="E18" s="150"/>
      <c r="F18" s="150">
        <v>16176711.52</v>
      </c>
      <c r="G18" s="38">
        <f aca="true" t="shared" si="0" ref="G18:G24">SUM(C18:F18)</f>
        <v>119964470.67999999</v>
      </c>
      <c r="H18" s="155">
        <v>66043.41</v>
      </c>
      <c r="I18" s="148">
        <f>58076893.63-2375-21000</f>
        <v>58053518.63</v>
      </c>
      <c r="J18" s="154"/>
      <c r="K18" s="154">
        <v>11842961.25</v>
      </c>
      <c r="L18" s="38">
        <f aca="true" t="shared" si="1" ref="L18:L24">SUM(H18:K18)</f>
        <v>69962523.28999999</v>
      </c>
      <c r="M18" s="144"/>
      <c r="N18" s="41"/>
      <c r="O18" s="41"/>
      <c r="P18" s="41"/>
      <c r="Q18" s="159">
        <f aca="true" t="shared" si="2" ref="Q18:Q24">SUM(M18:P18)</f>
        <v>0</v>
      </c>
      <c r="R18" s="39">
        <f aca="true" t="shared" si="3" ref="R18:R24">G18+L18+Q18</f>
        <v>189926993.96999997</v>
      </c>
      <c r="S18" s="41"/>
      <c r="T18" s="41"/>
      <c r="U18" s="41"/>
      <c r="V18" s="41"/>
      <c r="W18" s="159">
        <f aca="true" t="shared" si="4" ref="W18:W24">SUM(S18:V18)</f>
        <v>0</v>
      </c>
      <c r="X18" s="41">
        <f>C18+H18+M18+S18</f>
        <v>7192328.370000001</v>
      </c>
      <c r="Y18" s="41">
        <f aca="true" t="shared" si="5" ref="Y18:AA24">D18+I18+N18+T18</f>
        <v>154714992.83</v>
      </c>
      <c r="Z18" s="41">
        <f t="shared" si="5"/>
        <v>0</v>
      </c>
      <c r="AA18" s="41">
        <f t="shared" si="5"/>
        <v>28019672.77</v>
      </c>
      <c r="AB18" s="38">
        <f aca="true" t="shared" si="6" ref="AB18:AB24">SUM(X18:AA18)</f>
        <v>189926993.97000003</v>
      </c>
      <c r="AC18" s="42"/>
      <c r="AE18" s="128"/>
    </row>
    <row r="19" spans="1:29" ht="15.75">
      <c r="A19" s="185" t="s">
        <v>26</v>
      </c>
      <c r="B19" s="186"/>
      <c r="C19" s="150">
        <f>136626.2</f>
        <v>136626.2</v>
      </c>
      <c r="D19" s="151">
        <f>10166659.98</f>
        <v>10166659.98</v>
      </c>
      <c r="E19" s="150">
        <v>20400</v>
      </c>
      <c r="F19" s="150">
        <v>8511288.77</v>
      </c>
      <c r="G19" s="38">
        <f t="shared" si="0"/>
        <v>18834974.95</v>
      </c>
      <c r="H19" s="150">
        <v>15402.26</v>
      </c>
      <c r="I19" s="151">
        <f>5327408.32</f>
        <v>5327408.32</v>
      </c>
      <c r="J19" s="150"/>
      <c r="K19" s="150">
        <v>1834228.34</v>
      </c>
      <c r="L19" s="38">
        <f t="shared" si="1"/>
        <v>7177038.92</v>
      </c>
      <c r="M19" s="144"/>
      <c r="N19" s="41"/>
      <c r="O19" s="41"/>
      <c r="P19" s="41"/>
      <c r="Q19" s="159">
        <f t="shared" si="2"/>
        <v>0</v>
      </c>
      <c r="R19" s="39">
        <f t="shared" si="3"/>
        <v>26012013.869999997</v>
      </c>
      <c r="S19" s="41"/>
      <c r="T19" s="41"/>
      <c r="U19" s="41"/>
      <c r="V19" s="41"/>
      <c r="W19" s="159">
        <f t="shared" si="4"/>
        <v>0</v>
      </c>
      <c r="X19" s="41">
        <f aca="true" t="shared" si="7" ref="X19:X24">C19+H19+M19+S19</f>
        <v>152028.46000000002</v>
      </c>
      <c r="Y19" s="41">
        <f t="shared" si="5"/>
        <v>15494068.3</v>
      </c>
      <c r="Z19" s="41">
        <f t="shared" si="5"/>
        <v>20400</v>
      </c>
      <c r="AA19" s="41">
        <f t="shared" si="5"/>
        <v>10345517.11</v>
      </c>
      <c r="AB19" s="38">
        <f t="shared" si="6"/>
        <v>26012013.87</v>
      </c>
      <c r="AC19" s="42"/>
    </row>
    <row r="20" spans="1:29" ht="15.75">
      <c r="A20" s="184" t="s">
        <v>27</v>
      </c>
      <c r="B20" s="186"/>
      <c r="C20" s="150"/>
      <c r="D20" s="152"/>
      <c r="E20" s="150"/>
      <c r="F20" s="150"/>
      <c r="G20" s="38">
        <f t="shared" si="0"/>
        <v>0</v>
      </c>
      <c r="H20" s="150"/>
      <c r="I20" s="150"/>
      <c r="J20" s="150"/>
      <c r="K20" s="150"/>
      <c r="L20" s="38">
        <f t="shared" si="1"/>
        <v>0</v>
      </c>
      <c r="M20" s="144"/>
      <c r="N20" s="41"/>
      <c r="O20" s="41"/>
      <c r="P20" s="41"/>
      <c r="Q20" s="159">
        <f t="shared" si="2"/>
        <v>0</v>
      </c>
      <c r="R20" s="39">
        <f t="shared" si="3"/>
        <v>0</v>
      </c>
      <c r="S20" s="41"/>
      <c r="T20" s="41"/>
      <c r="U20" s="41"/>
      <c r="V20" s="41"/>
      <c r="W20" s="159">
        <f t="shared" si="4"/>
        <v>0</v>
      </c>
      <c r="X20" s="41">
        <f t="shared" si="7"/>
        <v>0</v>
      </c>
      <c r="Y20" s="41">
        <f t="shared" si="5"/>
        <v>0</v>
      </c>
      <c r="Z20" s="41">
        <f t="shared" si="5"/>
        <v>0</v>
      </c>
      <c r="AA20" s="41">
        <f t="shared" si="5"/>
        <v>0</v>
      </c>
      <c r="AB20" s="38">
        <f t="shared" si="6"/>
        <v>0</v>
      </c>
      <c r="AC20" s="42"/>
    </row>
    <row r="21" spans="1:31" ht="15.75">
      <c r="A21" s="184" t="s">
        <v>28</v>
      </c>
      <c r="B21" s="187"/>
      <c r="C21" s="148">
        <v>780190.36</v>
      </c>
      <c r="D21" s="155">
        <v>968406.75</v>
      </c>
      <c r="E21" s="148"/>
      <c r="F21" s="155">
        <v>1658105.03</v>
      </c>
      <c r="G21" s="38">
        <f t="shared" si="0"/>
        <v>3406702.1399999997</v>
      </c>
      <c r="H21" s="150"/>
      <c r="I21" s="155">
        <v>1594833.72</v>
      </c>
      <c r="J21" s="148"/>
      <c r="K21" s="155">
        <v>475782.58</v>
      </c>
      <c r="L21" s="38">
        <f t="shared" si="1"/>
        <v>2070616.3</v>
      </c>
      <c r="M21" s="147"/>
      <c r="N21" s="87"/>
      <c r="O21" s="41"/>
      <c r="P21" s="41"/>
      <c r="Q21" s="159">
        <f t="shared" si="2"/>
        <v>0</v>
      </c>
      <c r="R21" s="39">
        <f t="shared" si="3"/>
        <v>5477318.4399999995</v>
      </c>
      <c r="S21" s="41"/>
      <c r="T21" s="41"/>
      <c r="U21" s="41"/>
      <c r="V21" s="41"/>
      <c r="W21" s="159">
        <f t="shared" si="4"/>
        <v>0</v>
      </c>
      <c r="X21" s="41">
        <f t="shared" si="7"/>
        <v>780190.36</v>
      </c>
      <c r="Y21" s="41">
        <f t="shared" si="5"/>
        <v>2563240.4699999997</v>
      </c>
      <c r="Z21" s="41">
        <f>E21+J21+O21+U21</f>
        <v>0</v>
      </c>
      <c r="AA21" s="41">
        <f t="shared" si="5"/>
        <v>2133887.61</v>
      </c>
      <c r="AB21" s="38">
        <f t="shared" si="6"/>
        <v>5477318.4399999995</v>
      </c>
      <c r="AC21" s="42"/>
      <c r="AE21" s="128"/>
    </row>
    <row r="22" spans="1:29" ht="15.75">
      <c r="A22" s="184" t="s">
        <v>29</v>
      </c>
      <c r="B22" s="187"/>
      <c r="C22" s="150"/>
      <c r="D22" s="152"/>
      <c r="E22" s="150"/>
      <c r="F22" s="150"/>
      <c r="G22" s="38">
        <f t="shared" si="0"/>
        <v>0</v>
      </c>
      <c r="H22" s="150"/>
      <c r="I22" s="150"/>
      <c r="J22" s="150"/>
      <c r="K22" s="150"/>
      <c r="L22" s="38">
        <f t="shared" si="1"/>
        <v>0</v>
      </c>
      <c r="M22" s="144"/>
      <c r="N22" s="41"/>
      <c r="O22" s="41"/>
      <c r="P22" s="41"/>
      <c r="Q22" s="159">
        <f t="shared" si="2"/>
        <v>0</v>
      </c>
      <c r="R22" s="39">
        <f t="shared" si="3"/>
        <v>0</v>
      </c>
      <c r="S22" s="41"/>
      <c r="T22" s="41"/>
      <c r="U22" s="41"/>
      <c r="V22" s="41"/>
      <c r="W22" s="159">
        <f t="shared" si="4"/>
        <v>0</v>
      </c>
      <c r="X22" s="41">
        <f t="shared" si="7"/>
        <v>0</v>
      </c>
      <c r="Y22" s="41">
        <f t="shared" si="5"/>
        <v>0</v>
      </c>
      <c r="Z22" s="41">
        <f t="shared" si="5"/>
        <v>0</v>
      </c>
      <c r="AA22" s="41">
        <f t="shared" si="5"/>
        <v>0</v>
      </c>
      <c r="AB22" s="38">
        <f t="shared" si="6"/>
        <v>0</v>
      </c>
      <c r="AC22" s="42"/>
    </row>
    <row r="23" spans="1:29" ht="15.75">
      <c r="A23" s="184" t="s">
        <v>30</v>
      </c>
      <c r="B23" s="187"/>
      <c r="C23" s="150"/>
      <c r="D23" s="152"/>
      <c r="E23" s="150"/>
      <c r="F23" s="150"/>
      <c r="G23" s="38">
        <f t="shared" si="0"/>
        <v>0</v>
      </c>
      <c r="H23" s="150"/>
      <c r="I23" s="150"/>
      <c r="J23" s="150"/>
      <c r="K23" s="150"/>
      <c r="L23" s="38">
        <f t="shared" si="1"/>
        <v>0</v>
      </c>
      <c r="M23" s="144"/>
      <c r="N23" s="41"/>
      <c r="O23" s="41"/>
      <c r="P23" s="41"/>
      <c r="Q23" s="159">
        <f t="shared" si="2"/>
        <v>0</v>
      </c>
      <c r="R23" s="39">
        <f t="shared" si="3"/>
        <v>0</v>
      </c>
      <c r="S23" s="41"/>
      <c r="T23" s="41"/>
      <c r="U23" s="41"/>
      <c r="V23" s="41"/>
      <c r="W23" s="159">
        <f t="shared" si="4"/>
        <v>0</v>
      </c>
      <c r="X23" s="41">
        <f t="shared" si="7"/>
        <v>0</v>
      </c>
      <c r="Y23" s="41">
        <f t="shared" si="5"/>
        <v>0</v>
      </c>
      <c r="Z23" s="41">
        <f t="shared" si="5"/>
        <v>0</v>
      </c>
      <c r="AA23" s="41">
        <f t="shared" si="5"/>
        <v>0</v>
      </c>
      <c r="AB23" s="38">
        <f t="shared" si="6"/>
        <v>0</v>
      </c>
      <c r="AC23" s="42"/>
    </row>
    <row r="24" spans="1:29" ht="15.75">
      <c r="A24" s="184" t="s">
        <v>31</v>
      </c>
      <c r="B24" s="187"/>
      <c r="C24" s="153"/>
      <c r="D24" s="152"/>
      <c r="E24" s="150"/>
      <c r="F24" s="150"/>
      <c r="G24" s="38">
        <f t="shared" si="0"/>
        <v>0</v>
      </c>
      <c r="H24" s="150"/>
      <c r="I24" s="150"/>
      <c r="J24" s="150"/>
      <c r="K24" s="150"/>
      <c r="L24" s="177">
        <f t="shared" si="1"/>
        <v>0</v>
      </c>
      <c r="M24" s="144"/>
      <c r="N24" s="41"/>
      <c r="O24" s="41"/>
      <c r="P24" s="41"/>
      <c r="Q24" s="159">
        <f t="shared" si="2"/>
        <v>0</v>
      </c>
      <c r="R24" s="39">
        <f t="shared" si="3"/>
        <v>0</v>
      </c>
      <c r="S24" s="41"/>
      <c r="T24" s="41"/>
      <c r="U24" s="41"/>
      <c r="V24" s="41"/>
      <c r="W24" s="159">
        <f t="shared" si="4"/>
        <v>0</v>
      </c>
      <c r="X24" s="41">
        <f t="shared" si="7"/>
        <v>0</v>
      </c>
      <c r="Y24" s="41">
        <f t="shared" si="5"/>
        <v>0</v>
      </c>
      <c r="Z24" s="41">
        <f t="shared" si="5"/>
        <v>0</v>
      </c>
      <c r="AA24" s="41">
        <f t="shared" si="5"/>
        <v>0</v>
      </c>
      <c r="AB24" s="38">
        <f t="shared" si="6"/>
        <v>0</v>
      </c>
      <c r="AC24" s="42"/>
    </row>
    <row r="25" spans="1:29" ht="16.5" thickBot="1">
      <c r="A25" s="47"/>
      <c r="B25" s="187" t="s">
        <v>32</v>
      </c>
      <c r="C25" s="146">
        <f>C17+C21+C22+C24+C20+C23</f>
        <v>8043101.520000001</v>
      </c>
      <c r="D25" s="146">
        <f>D17+D21+D22+D24+D20+D23</f>
        <v>107796540.93</v>
      </c>
      <c r="E25" s="146">
        <f>E17+E21+E22+E24+E20+E23</f>
        <v>20400</v>
      </c>
      <c r="F25" s="146">
        <f>F17+F21+F22+F24+F20+F23</f>
        <v>26346105.32</v>
      </c>
      <c r="G25" s="146">
        <f>G17+G21+G22+G24+G20+G23</f>
        <v>142206147.76999998</v>
      </c>
      <c r="H25" s="146">
        <f>H17+H21+H22+H24+H20+H23</f>
        <v>81445.67</v>
      </c>
      <c r="I25" s="146">
        <f>I17+I21+I22+I24+I20+I23</f>
        <v>64975760.67</v>
      </c>
      <c r="J25" s="146">
        <f>J17+J21+J22+J24+J20+J23</f>
        <v>0</v>
      </c>
      <c r="K25" s="146">
        <f>K17+K21+K22+K24+K20+K23</f>
        <v>14152972.17</v>
      </c>
      <c r="L25" s="146">
        <f>L17+L21+L22+L24+L20+L23</f>
        <v>79210178.51</v>
      </c>
      <c r="M25" s="146">
        <f>M17+M21+M22+M24+M20+M23</f>
        <v>0</v>
      </c>
      <c r="N25" s="160">
        <f>N17+N21+N22+N24+N20+N23</f>
        <v>0</v>
      </c>
      <c r="O25" s="146">
        <f>O17+O21+O22+O24+O20+O23</f>
        <v>0</v>
      </c>
      <c r="P25" s="160">
        <f>P17+P21+P22+P24+P20+P23</f>
        <v>0</v>
      </c>
      <c r="Q25" s="160">
        <f>Q17+Q21+Q22+Q24+Q20+Q23</f>
        <v>0</v>
      </c>
      <c r="R25" s="146">
        <f>R17+R21+R22+R24</f>
        <v>221416326.28</v>
      </c>
      <c r="S25" s="146">
        <f>S17+S21+S22+S24+S20+S23</f>
        <v>0</v>
      </c>
      <c r="T25" s="146">
        <f>T17+T21+T22+T24+T20+T23</f>
        <v>0</v>
      </c>
      <c r="U25" s="146">
        <f>U17+U21+U22+U24+U20+U23</f>
        <v>0</v>
      </c>
      <c r="V25" s="146">
        <f>V17+V21+V22+V24+V20+V23</f>
        <v>0</v>
      </c>
      <c r="W25" s="146">
        <f>W17+W21+W22+W24+W20+W23</f>
        <v>0</v>
      </c>
      <c r="X25" s="146">
        <f>X17+X21+X22+X24+X20+X23</f>
        <v>8124547.190000001</v>
      </c>
      <c r="Y25" s="146">
        <f>Y17+Y21+Y22+Y24+Y20+Y23</f>
        <v>172772301.60000002</v>
      </c>
      <c r="Z25" s="146">
        <f>Z17+Z21+Z22+Z24+Z20+Z23</f>
        <v>20400</v>
      </c>
      <c r="AA25" s="146">
        <f>AA17+AA21+AA22+AA24+AA20+AA23</f>
        <v>40499077.489999995</v>
      </c>
      <c r="AB25" s="146">
        <f>AB17+AB21+AB22+AB24+AB20+AB23</f>
        <v>221416326.28000003</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87" t="s">
        <v>33</v>
      </c>
      <c r="H28" s="62"/>
      <c r="I28" s="62"/>
      <c r="J28" s="62"/>
      <c r="K28" s="62"/>
      <c r="L28" s="63"/>
      <c r="M28" s="63"/>
      <c r="N28" s="63"/>
      <c r="O28" s="63"/>
      <c r="P28" s="63"/>
      <c r="Q28" s="63"/>
      <c r="R28" s="63"/>
      <c r="S28" s="64"/>
      <c r="AC28" s="65"/>
    </row>
    <row r="29" spans="1:29" ht="26.25">
      <c r="A29" s="187"/>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170">
        <f>SUM(D31:D36)</f>
        <v>766573510.22</v>
      </c>
      <c r="E30" s="170">
        <f>SUM(E31:E36)</f>
        <v>159092550.44</v>
      </c>
      <c r="F30" s="62"/>
      <c r="G30" s="170">
        <f>SUM(G31:G36)</f>
        <v>925666060.66</v>
      </c>
      <c r="H30" s="62"/>
      <c r="I30" s="254" t="s">
        <v>52</v>
      </c>
      <c r="J30" s="67" t="s">
        <v>38</v>
      </c>
      <c r="K30" s="62"/>
      <c r="L30" s="170">
        <f>+'101 AUGUST'!P30</f>
        <v>752250694</v>
      </c>
      <c r="M30" s="68"/>
      <c r="N30" s="68">
        <f>N34+N42</f>
        <v>153615232</v>
      </c>
      <c r="O30" s="68"/>
      <c r="P30" s="170">
        <f>L30+N30</f>
        <v>905865926</v>
      </c>
      <c r="AC30" s="65"/>
    </row>
    <row r="31" spans="1:29" ht="15.75">
      <c r="A31" s="69"/>
      <c r="B31" s="66" t="s">
        <v>39</v>
      </c>
      <c r="C31" s="68"/>
      <c r="D31" s="170">
        <f>+'101 AUGUST'!G31</f>
        <v>742218694</v>
      </c>
      <c r="E31" s="170">
        <f>151908000+818000+104858+784374</f>
        <v>153615232</v>
      </c>
      <c r="F31" s="62"/>
      <c r="G31" s="179">
        <f>C31+E31+D31</f>
        <v>895833926</v>
      </c>
      <c r="H31" s="62"/>
      <c r="I31" s="254"/>
      <c r="J31" s="64" t="s">
        <v>40</v>
      </c>
      <c r="K31" s="62"/>
      <c r="L31" s="172">
        <f>+'101 AUGUST'!P31</f>
        <v>703397906.8614</v>
      </c>
      <c r="M31" s="70"/>
      <c r="N31" s="70">
        <f>+N35+N39+N43</f>
        <v>221416326.27999997</v>
      </c>
      <c r="O31" s="70"/>
      <c r="P31" s="171">
        <f>L31+N31</f>
        <v>924814233.1414</v>
      </c>
      <c r="AC31" s="65"/>
    </row>
    <row r="32" spans="1:29" ht="16.5" thickBot="1">
      <c r="A32" s="69"/>
      <c r="B32" s="66" t="s">
        <v>67</v>
      </c>
      <c r="C32" s="62"/>
      <c r="D32" s="170"/>
      <c r="E32" s="170"/>
      <c r="F32" s="62"/>
      <c r="G32" s="63">
        <f aca="true" t="shared" si="8" ref="G32:G38">C32+E32+D32</f>
        <v>0</v>
      </c>
      <c r="H32" s="62"/>
      <c r="I32" s="254"/>
      <c r="J32" s="64" t="s">
        <v>41</v>
      </c>
      <c r="K32" s="62"/>
      <c r="L32" s="168">
        <f>L30-L31</f>
        <v>48852787.13859999</v>
      </c>
      <c r="M32" s="70"/>
      <c r="N32" s="168">
        <f>N30-N31</f>
        <v>-67801094.27999997</v>
      </c>
      <c r="O32" s="70"/>
      <c r="P32" s="169">
        <f>P30-P31</f>
        <v>-18948307.14139998</v>
      </c>
      <c r="AC32" s="65"/>
    </row>
    <row r="33" spans="1:29" ht="16.5" thickTop="1">
      <c r="A33" s="69"/>
      <c r="B33" s="66" t="s">
        <v>42</v>
      </c>
      <c r="C33" s="62"/>
      <c r="D33" s="170">
        <f>+'101 AUGUST'!G33</f>
        <v>24354816.22</v>
      </c>
      <c r="E33" s="170">
        <f>+AB21</f>
        <v>5477318.4399999995</v>
      </c>
      <c r="F33" s="62"/>
      <c r="G33" s="179">
        <f t="shared" si="8"/>
        <v>29832134.659999996</v>
      </c>
      <c r="H33" s="62"/>
      <c r="I33" s="76"/>
      <c r="J33" s="64"/>
      <c r="K33" s="62"/>
      <c r="L33" s="172"/>
      <c r="M33" s="64"/>
      <c r="N33" s="64"/>
      <c r="O33" s="64"/>
      <c r="P33" s="172"/>
      <c r="R33" s="140" t="s">
        <v>58</v>
      </c>
      <c r="X33" s="140" t="s">
        <v>60</v>
      </c>
      <c r="AC33" s="65"/>
    </row>
    <row r="34" spans="1:29" ht="15" customHeight="1">
      <c r="A34" s="69"/>
      <c r="B34" s="66" t="s">
        <v>43</v>
      </c>
      <c r="C34" s="62"/>
      <c r="D34" s="62"/>
      <c r="E34" s="170"/>
      <c r="F34" s="62"/>
      <c r="G34" s="63">
        <f t="shared" si="8"/>
        <v>0</v>
      </c>
      <c r="H34" s="62"/>
      <c r="I34" s="254" t="s">
        <v>53</v>
      </c>
      <c r="J34" s="67" t="s">
        <v>38</v>
      </c>
      <c r="K34" s="62"/>
      <c r="L34" s="170">
        <f>+'101 AUGUST'!P34</f>
        <v>729620694</v>
      </c>
      <c r="M34" s="68"/>
      <c r="N34" s="68">
        <f>E31</f>
        <v>153615232</v>
      </c>
      <c r="O34" s="68"/>
      <c r="P34" s="170">
        <f>L34+N34</f>
        <v>883235926</v>
      </c>
      <c r="AC34" s="65"/>
    </row>
    <row r="35" spans="1:29" ht="15.75">
      <c r="A35" s="69"/>
      <c r="B35" s="66" t="s">
        <v>44</v>
      </c>
      <c r="C35" s="62"/>
      <c r="D35" s="62"/>
      <c r="E35" s="62"/>
      <c r="F35" s="62"/>
      <c r="G35" s="63">
        <f t="shared" si="8"/>
        <v>0</v>
      </c>
      <c r="H35" s="62"/>
      <c r="I35" s="254"/>
      <c r="J35" s="64" t="s">
        <v>40</v>
      </c>
      <c r="K35" s="62"/>
      <c r="L35" s="172">
        <f>+'101 AUGUST'!P35</f>
        <v>287476818.8914</v>
      </c>
      <c r="M35" s="70"/>
      <c r="N35" s="70">
        <f>+G25</f>
        <v>142206147.76999998</v>
      </c>
      <c r="O35" s="70"/>
      <c r="P35" s="171">
        <f>L35+N35</f>
        <v>429682966.66139996</v>
      </c>
      <c r="AC35" s="65"/>
    </row>
    <row r="36" spans="1:29" ht="16.5" thickBot="1">
      <c r="A36" s="69"/>
      <c r="B36" s="66" t="s">
        <v>45</v>
      </c>
      <c r="C36" s="62"/>
      <c r="D36" s="62"/>
      <c r="E36" s="62"/>
      <c r="F36" s="62"/>
      <c r="G36" s="63">
        <f t="shared" si="8"/>
        <v>0</v>
      </c>
      <c r="H36" s="62"/>
      <c r="I36" s="254"/>
      <c r="J36" s="64" t="s">
        <v>41</v>
      </c>
      <c r="K36" s="62"/>
      <c r="L36" s="168">
        <f>L34-L35</f>
        <v>442143875.1086</v>
      </c>
      <c r="M36" s="70"/>
      <c r="N36" s="72">
        <f>N34-N35</f>
        <v>11409084.23000002</v>
      </c>
      <c r="O36" s="70"/>
      <c r="P36" s="169">
        <f>P34-P35</f>
        <v>453552959.33860004</v>
      </c>
      <c r="AC36" s="65"/>
    </row>
    <row r="37" spans="1:29" ht="16.5" thickTop="1">
      <c r="A37" s="74" t="s">
        <v>46</v>
      </c>
      <c r="B37" s="66"/>
      <c r="C37" s="62"/>
      <c r="D37" s="62"/>
      <c r="E37" s="62"/>
      <c r="F37" s="62"/>
      <c r="G37" s="63">
        <f t="shared" si="8"/>
        <v>0</v>
      </c>
      <c r="H37" s="62"/>
      <c r="I37" s="76"/>
      <c r="J37" s="64"/>
      <c r="K37" s="62"/>
      <c r="L37" s="172"/>
      <c r="M37" s="64"/>
      <c r="N37" s="64"/>
      <c r="O37" s="64"/>
      <c r="P37" s="172"/>
      <c r="R37" s="140" t="s">
        <v>81</v>
      </c>
      <c r="X37" s="259" t="s">
        <v>90</v>
      </c>
      <c r="Y37" s="259"/>
      <c r="AB37" s="64"/>
      <c r="AC37" s="65"/>
    </row>
    <row r="38" spans="1:29" ht="15" customHeight="1">
      <c r="A38" s="74" t="s">
        <v>47</v>
      </c>
      <c r="B38" s="66"/>
      <c r="C38" s="62"/>
      <c r="D38" s="62"/>
      <c r="E38" s="62"/>
      <c r="F38" s="62"/>
      <c r="G38" s="63">
        <f t="shared" si="8"/>
        <v>0</v>
      </c>
      <c r="H38" s="62"/>
      <c r="I38" s="254" t="s">
        <v>54</v>
      </c>
      <c r="J38" s="67" t="s">
        <v>38</v>
      </c>
      <c r="K38" s="62"/>
      <c r="L38" s="170"/>
      <c r="M38" s="68"/>
      <c r="N38" s="68"/>
      <c r="O38" s="68"/>
      <c r="P38" s="170">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f>+O25</f>
        <v>0</v>
      </c>
      <c r="M39" s="70"/>
      <c r="N39" s="70">
        <f>+Q25</f>
        <v>0</v>
      </c>
      <c r="O39" s="70"/>
      <c r="P39" s="70">
        <f>+S25</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2">
        <f>P38-P39</f>
        <v>0</v>
      </c>
      <c r="AB40" s="64"/>
      <c r="AC40" s="65"/>
    </row>
    <row r="41" spans="1:29" ht="16.5" thickTop="1">
      <c r="A41" s="66" t="s">
        <v>48</v>
      </c>
      <c r="B41" s="66"/>
      <c r="C41" s="62">
        <f>C30-C37+C38-C39+C40</f>
        <v>0</v>
      </c>
      <c r="D41" s="170">
        <f>D30-D37+D38-D39+D40</f>
        <v>766573510.22</v>
      </c>
      <c r="E41" s="170">
        <f>E30-E37+E38-E39+E40</f>
        <v>159092550.44</v>
      </c>
      <c r="F41" s="62"/>
      <c r="G41" s="170">
        <f>G30-G37+G38-G39+G40</f>
        <v>925666060.66</v>
      </c>
      <c r="H41" s="62"/>
      <c r="I41" s="76"/>
      <c r="J41" s="64"/>
      <c r="K41" s="62"/>
      <c r="L41" s="172"/>
      <c r="M41" s="64"/>
      <c r="N41" s="64"/>
      <c r="O41" s="64"/>
      <c r="P41" s="172"/>
      <c r="AB41" s="64"/>
      <c r="AC41" s="65"/>
    </row>
    <row r="42" spans="1:29" ht="15" customHeight="1">
      <c r="A42" s="74" t="s">
        <v>51</v>
      </c>
      <c r="B42" s="66"/>
      <c r="C42" s="62"/>
      <c r="D42" s="170">
        <f>+'101 AUGUST'!G42</f>
        <v>825338.72</v>
      </c>
      <c r="E42" s="170">
        <v>26488.8</v>
      </c>
      <c r="F42" s="62"/>
      <c r="G42" s="179">
        <f>C42+E42+D42</f>
        <v>851827.52</v>
      </c>
      <c r="H42" s="62"/>
      <c r="I42" s="254" t="s">
        <v>55</v>
      </c>
      <c r="J42" s="67" t="s">
        <v>38</v>
      </c>
      <c r="K42" s="62"/>
      <c r="L42" s="170">
        <f>+'101 AUGUST'!P42</f>
        <v>22630000</v>
      </c>
      <c r="M42" s="68"/>
      <c r="N42" s="68">
        <v>0</v>
      </c>
      <c r="O42" s="68"/>
      <c r="P42" s="170">
        <f>L42+N42</f>
        <v>22630000</v>
      </c>
      <c r="AB42" s="64"/>
      <c r="AC42" s="65"/>
    </row>
    <row r="43" spans="1:29" ht="15.75">
      <c r="A43" s="69"/>
      <c r="B43" s="66" t="s">
        <v>49</v>
      </c>
      <c r="C43" s="62"/>
      <c r="D43" s="170">
        <f>+'101 AUGUST'!G43</f>
        <v>703397906.8614</v>
      </c>
      <c r="E43" s="170">
        <f>AB25</f>
        <v>221416326.28000003</v>
      </c>
      <c r="F43" s="62"/>
      <c r="G43" s="179">
        <f>C43+E43+D43</f>
        <v>924814233.1414001</v>
      </c>
      <c r="H43" s="62"/>
      <c r="I43" s="254"/>
      <c r="J43" s="64" t="s">
        <v>40</v>
      </c>
      <c r="K43" s="62"/>
      <c r="L43" s="172">
        <f>+'101 AUGUST'!P43</f>
        <v>415921087.96999997</v>
      </c>
      <c r="M43" s="70"/>
      <c r="N43" s="70">
        <f>+L25</f>
        <v>79210178.51</v>
      </c>
      <c r="O43" s="70"/>
      <c r="P43" s="171">
        <f>L43+N43</f>
        <v>495131266.47999996</v>
      </c>
      <c r="AB43" s="64"/>
      <c r="AC43" s="65"/>
    </row>
    <row r="44" spans="1:29" ht="16.5" thickBot="1">
      <c r="A44" s="74" t="s">
        <v>50</v>
      </c>
      <c r="B44" s="49"/>
      <c r="C44" s="75">
        <f>C41-C42-C43</f>
        <v>0</v>
      </c>
      <c r="D44" s="75">
        <f>D41-D42-D43</f>
        <v>62350264.63859999</v>
      </c>
      <c r="E44" s="178">
        <f>E41-E42-E43</f>
        <v>-62350264.640000045</v>
      </c>
      <c r="F44" s="62"/>
      <c r="G44" s="75">
        <f>G41-G42-G43</f>
        <v>-0.0014001131057739258</v>
      </c>
      <c r="H44" s="62"/>
      <c r="I44" s="254"/>
      <c r="J44" s="64" t="s">
        <v>41</v>
      </c>
      <c r="K44" s="62"/>
      <c r="L44" s="168">
        <f>L42-L43</f>
        <v>-393291087.96999997</v>
      </c>
      <c r="M44" s="70"/>
      <c r="N44" s="168">
        <f>N42-N43</f>
        <v>-79210178.51</v>
      </c>
      <c r="O44" s="70"/>
      <c r="P44" s="169">
        <f>P42-P43</f>
        <v>-472501266.47999996</v>
      </c>
      <c r="AB44" s="64"/>
      <c r="AC44" s="65"/>
    </row>
    <row r="45" spans="1:7" ht="16.5" thickTop="1">
      <c r="A45" s="69"/>
      <c r="B45" s="49"/>
      <c r="C45" s="62"/>
      <c r="D45" s="62"/>
      <c r="E45" s="62"/>
      <c r="F45" s="62"/>
      <c r="G45" s="63"/>
    </row>
    <row r="46" spans="1:7" ht="15.75">
      <c r="A46" s="69"/>
      <c r="B46" s="187"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row r="56" ht="15.75">
      <c r="B56" s="190" t="s">
        <v>109</v>
      </c>
    </row>
    <row r="62" spans="2:4" ht="15.75">
      <c r="B62" s="60" t="s">
        <v>111</v>
      </c>
      <c r="D62" s="61">
        <v>0.69</v>
      </c>
    </row>
    <row r="63" spans="2:9" ht="15.75">
      <c r="B63" s="60" t="s">
        <v>110</v>
      </c>
      <c r="D63" s="61">
        <v>113.11</v>
      </c>
      <c r="F63" s="61" t="s">
        <v>101</v>
      </c>
      <c r="H63" s="61">
        <v>3000</v>
      </c>
      <c r="I63" s="61" t="s">
        <v>102</v>
      </c>
    </row>
    <row r="64" spans="2:6" ht="15.75">
      <c r="B64" s="60" t="s">
        <v>99</v>
      </c>
      <c r="D64" s="61">
        <f>26488.11-113.11</f>
        <v>26375</v>
      </c>
      <c r="F64" s="61" t="s">
        <v>104</v>
      </c>
    </row>
    <row r="65" spans="2:8" ht="15.75">
      <c r="B65" s="60" t="s">
        <v>100</v>
      </c>
      <c r="D65" s="61">
        <f>SUM(D62:D64)</f>
        <v>26488.8</v>
      </c>
      <c r="F65" s="61" t="s">
        <v>103</v>
      </c>
      <c r="H65" s="61">
        <v>23375</v>
      </c>
    </row>
    <row r="66" spans="6:9" ht="15.75">
      <c r="F66" s="61" t="s">
        <v>105</v>
      </c>
      <c r="G66" s="61">
        <f>7154+851.92</f>
        <v>8005.92</v>
      </c>
      <c r="I66" s="61" t="s">
        <v>106</v>
      </c>
    </row>
    <row r="67" ht="15.75">
      <c r="G67" s="61">
        <f>+G66-H63</f>
        <v>5005.92</v>
      </c>
    </row>
    <row r="68" ht="15.75">
      <c r="G68" s="61">
        <v>113.11</v>
      </c>
    </row>
    <row r="69" ht="15.75">
      <c r="G69" s="61">
        <f>+G67-G68</f>
        <v>4892.81</v>
      </c>
    </row>
    <row r="70" spans="2:4" ht="15.75">
      <c r="B70" s="60" t="s">
        <v>107</v>
      </c>
      <c r="D70" s="61">
        <v>2375</v>
      </c>
    </row>
    <row r="71" ht="15.75">
      <c r="D71" s="61">
        <v>21000</v>
      </c>
    </row>
    <row r="72" ht="15.75">
      <c r="D72" s="188">
        <v>3000</v>
      </c>
    </row>
    <row r="73" ht="15.75">
      <c r="D73" s="61">
        <f>SUM(D70:D72)</f>
        <v>26375</v>
      </c>
    </row>
    <row r="74" spans="2:4" ht="15.75">
      <c r="B74" s="60" t="s">
        <v>112</v>
      </c>
      <c r="D74" s="188">
        <f>113.11+0.69</f>
        <v>113.8</v>
      </c>
    </row>
    <row r="75" spans="2:4" ht="16.5" thickBot="1">
      <c r="B75" s="60" t="s">
        <v>108</v>
      </c>
      <c r="D75" s="189">
        <f>+D73+D74</f>
        <v>26488.8</v>
      </c>
    </row>
    <row r="76" ht="16.5" thickTop="1"/>
  </sheetData>
  <sheetProtection/>
  <mergeCells count="29">
    <mergeCell ref="AB1:AC1"/>
    <mergeCell ref="A2:AC2"/>
    <mergeCell ref="A3:AC3"/>
    <mergeCell ref="A4:AC4"/>
    <mergeCell ref="A12:B14"/>
    <mergeCell ref="C12:G13"/>
    <mergeCell ref="H12:Q12"/>
    <mergeCell ref="R12:R14"/>
    <mergeCell ref="S12:W13"/>
    <mergeCell ref="X12:AB13"/>
    <mergeCell ref="AC12:AC14"/>
    <mergeCell ref="H13:L13"/>
    <mergeCell ref="M13:Q13"/>
    <mergeCell ref="A15:B15"/>
    <mergeCell ref="C15:G15"/>
    <mergeCell ref="H15:L15"/>
    <mergeCell ref="M15:Q15"/>
    <mergeCell ref="S15:W15"/>
    <mergeCell ref="X15:AB15"/>
    <mergeCell ref="I38:I40"/>
    <mergeCell ref="R38:S38"/>
    <mergeCell ref="X38:Y38"/>
    <mergeCell ref="I42:I44"/>
    <mergeCell ref="X37:Y37"/>
    <mergeCell ref="A16:B16"/>
    <mergeCell ref="A17:B17"/>
    <mergeCell ref="A18:B18"/>
    <mergeCell ref="I30:I32"/>
    <mergeCell ref="I34:I36"/>
  </mergeCells>
  <printOptions horizontalCentered="1"/>
  <pageMargins left="0.79" right="0.79" top="0.75" bottom="0.75" header="0.3" footer="0.3"/>
  <pageSetup horizontalDpi="600" verticalDpi="600" orientation="landscape" paperSize="3" scale="60" r:id="rId1"/>
</worksheet>
</file>

<file path=xl/worksheets/sheet6.xml><?xml version="1.0" encoding="utf-8"?>
<worksheet xmlns="http://schemas.openxmlformats.org/spreadsheetml/2006/main" xmlns:r="http://schemas.openxmlformats.org/officeDocument/2006/relationships">
  <dimension ref="A1:AE69"/>
  <sheetViews>
    <sheetView view="pageBreakPreview" zoomScale="85" zoomScaleNormal="115" zoomScaleSheetLayoutView="85" zoomScalePageLayoutView="0" workbookViewId="0" topLeftCell="A30">
      <selection activeCell="AE44" sqref="AE44"/>
    </sheetView>
  </sheetViews>
  <sheetFormatPr defaultColWidth="11.00390625" defaultRowHeight="15.75"/>
  <cols>
    <col min="1" max="1" width="2.875" style="60" customWidth="1"/>
    <col min="2" max="2" width="27.00390625" style="60" customWidth="1"/>
    <col min="3" max="3" width="12.125" style="61" customWidth="1"/>
    <col min="4" max="4" width="13.375" style="61" customWidth="1"/>
    <col min="5" max="5" width="13.25390625" style="61" customWidth="1"/>
    <col min="6" max="6" width="12.375" style="61" customWidth="1"/>
    <col min="7" max="7" width="13.75390625" style="61" customWidth="1"/>
    <col min="8" max="8" width="12.875" style="61" customWidth="1"/>
    <col min="9" max="9" width="12.625" style="61" customWidth="1"/>
    <col min="10" max="10" width="10.625" style="61" customWidth="1"/>
    <col min="11" max="11" width="13.00390625" style="61" customWidth="1"/>
    <col min="12" max="12" width="13.50390625" style="61" customWidth="1"/>
    <col min="13" max="13" width="4.125" style="61" customWidth="1"/>
    <col min="14" max="14" width="13.125" style="61" customWidth="1"/>
    <col min="15" max="15" width="4.25390625" style="61" customWidth="1"/>
    <col min="16" max="16" width="14.25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5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94</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37">
        <f>C18+C19</f>
        <v>7442738.8100000005</v>
      </c>
      <c r="D17" s="143">
        <f>D18+D19</f>
        <v>14061893.8914</v>
      </c>
      <c r="E17" s="37">
        <f>E18+E19</f>
        <v>0</v>
      </c>
      <c r="F17" s="37">
        <f>F18+F19</f>
        <v>14089324.06</v>
      </c>
      <c r="G17" s="38">
        <f>SUM(C17:F17)</f>
        <v>35593956.7614</v>
      </c>
      <c r="H17" s="37">
        <f>H18+H19</f>
        <v>0</v>
      </c>
      <c r="I17" s="37">
        <f>I18+I19</f>
        <v>67442061.69</v>
      </c>
      <c r="J17" s="37">
        <f>J18+J19</f>
        <v>0</v>
      </c>
      <c r="K17" s="37">
        <f>K18+K19</f>
        <v>21448367.67</v>
      </c>
      <c r="L17" s="38">
        <f>SUM(H17:K17)</f>
        <v>88890429.36</v>
      </c>
      <c r="M17" s="143">
        <f>M18+M19</f>
        <v>0</v>
      </c>
      <c r="N17" s="157">
        <f>N18+N19</f>
        <v>0</v>
      </c>
      <c r="O17" s="37">
        <f>O18+O19</f>
        <v>0</v>
      </c>
      <c r="P17" s="157">
        <f>P18+P19</f>
        <v>0</v>
      </c>
      <c r="Q17" s="159">
        <f>SUM(M17:P17)</f>
        <v>0</v>
      </c>
      <c r="R17" s="39">
        <f>G17+L17+Q17</f>
        <v>124484386.1214</v>
      </c>
      <c r="S17" s="37">
        <f>S18+S19</f>
        <v>0</v>
      </c>
      <c r="T17" s="37">
        <f>T18+T19</f>
        <v>0</v>
      </c>
      <c r="U17" s="37">
        <f>U18+U19</f>
        <v>0</v>
      </c>
      <c r="V17" s="37">
        <f>V18+V19</f>
        <v>0</v>
      </c>
      <c r="W17" s="38">
        <f>SUM(S17:V17)</f>
        <v>0</v>
      </c>
      <c r="X17" s="37">
        <f>X18+X19</f>
        <v>7442738.8100000005</v>
      </c>
      <c r="Y17" s="37">
        <f>Y18+Y19</f>
        <v>81503955.5814</v>
      </c>
      <c r="Z17" s="37">
        <f>Z18+Z19</f>
        <v>0</v>
      </c>
      <c r="AA17" s="37">
        <f>AA18+AA19</f>
        <v>35537691.730000004</v>
      </c>
      <c r="AB17" s="38">
        <f>SUM(X17:AA17)</f>
        <v>124484386.12140001</v>
      </c>
      <c r="AC17" s="40"/>
    </row>
    <row r="18" spans="1:31" ht="15.75">
      <c r="A18" s="252" t="s">
        <v>25</v>
      </c>
      <c r="B18" s="253"/>
      <c r="C18" s="148">
        <f>7254813.66+52000</f>
        <v>7306813.66</v>
      </c>
      <c r="D18" s="149">
        <f>11228837.26-52000</f>
        <v>11176837.26</v>
      </c>
      <c r="E18" s="150"/>
      <c r="F18" s="150">
        <v>831746.75</v>
      </c>
      <c r="G18" s="38">
        <f aca="true" t="shared" si="0" ref="G18:G24">SUM(C18:F18)</f>
        <v>19315397.67</v>
      </c>
      <c r="H18" s="155"/>
      <c r="I18" s="148">
        <f>66832978.94</f>
        <v>66832978.94</v>
      </c>
      <c r="J18" s="154"/>
      <c r="K18" s="154">
        <v>18918989.5</v>
      </c>
      <c r="L18" s="38">
        <f aca="true" t="shared" si="1" ref="L18:L24">SUM(H18:K18)</f>
        <v>85751968.44</v>
      </c>
      <c r="M18" s="144"/>
      <c r="N18" s="41"/>
      <c r="O18" s="41"/>
      <c r="P18" s="41"/>
      <c r="Q18" s="159">
        <f aca="true" t="shared" si="2" ref="Q18:Q24">SUM(M18:P18)</f>
        <v>0</v>
      </c>
      <c r="R18" s="39">
        <f aca="true" t="shared" si="3" ref="R18:R24">G18+L18+Q18</f>
        <v>105067366.11</v>
      </c>
      <c r="S18" s="41"/>
      <c r="T18" s="41"/>
      <c r="U18" s="41"/>
      <c r="V18" s="41"/>
      <c r="W18" s="159">
        <f aca="true" t="shared" si="4" ref="W18:W24">SUM(S18:V18)</f>
        <v>0</v>
      </c>
      <c r="X18" s="41">
        <f>C18+H18+M18+S18</f>
        <v>7306813.66</v>
      </c>
      <c r="Y18" s="41">
        <f aca="true" t="shared" si="5" ref="Y18:AA24">D18+I18+N18+T18</f>
        <v>78009816.2</v>
      </c>
      <c r="Z18" s="41">
        <f t="shared" si="5"/>
        <v>0</v>
      </c>
      <c r="AA18" s="41">
        <f t="shared" si="5"/>
        <v>19750736.25</v>
      </c>
      <c r="AB18" s="38">
        <f aca="true" t="shared" si="6" ref="AB18:AB24">SUM(X18:AA18)</f>
        <v>105067366.11</v>
      </c>
      <c r="AC18" s="42"/>
      <c r="AE18" s="128"/>
    </row>
    <row r="19" spans="1:29" ht="15.75">
      <c r="A19" s="181" t="s">
        <v>26</v>
      </c>
      <c r="B19" s="182"/>
      <c r="C19" s="150">
        <v>135925.15</v>
      </c>
      <c r="D19" s="151">
        <f>2885056.6314</f>
        <v>2885056.6314</v>
      </c>
      <c r="E19" s="150"/>
      <c r="F19" s="150">
        <v>13257577.31</v>
      </c>
      <c r="G19" s="38">
        <f t="shared" si="0"/>
        <v>16278559.091400001</v>
      </c>
      <c r="H19" s="150"/>
      <c r="I19" s="151">
        <f>609082.75</f>
        <v>609082.75</v>
      </c>
      <c r="J19" s="150"/>
      <c r="K19" s="150">
        <v>2529378.17</v>
      </c>
      <c r="L19" s="38">
        <f t="shared" si="1"/>
        <v>3138460.92</v>
      </c>
      <c r="M19" s="144"/>
      <c r="N19" s="41"/>
      <c r="O19" s="41"/>
      <c r="P19" s="41"/>
      <c r="Q19" s="159">
        <f t="shared" si="2"/>
        <v>0</v>
      </c>
      <c r="R19" s="39">
        <f t="shared" si="3"/>
        <v>19417020.0114</v>
      </c>
      <c r="S19" s="41"/>
      <c r="T19" s="41"/>
      <c r="U19" s="41"/>
      <c r="V19" s="41"/>
      <c r="W19" s="159">
        <f t="shared" si="4"/>
        <v>0</v>
      </c>
      <c r="X19" s="41">
        <f aca="true" t="shared" si="7" ref="X19:X24">C19+H19+M19+S19</f>
        <v>135925.15</v>
      </c>
      <c r="Y19" s="41">
        <f t="shared" si="5"/>
        <v>3494139.3814</v>
      </c>
      <c r="Z19" s="41">
        <f t="shared" si="5"/>
        <v>0</v>
      </c>
      <c r="AA19" s="41">
        <f t="shared" si="5"/>
        <v>15786955.48</v>
      </c>
      <c r="AB19" s="38">
        <f t="shared" si="6"/>
        <v>19417020.0114</v>
      </c>
      <c r="AC19" s="42"/>
    </row>
    <row r="20" spans="1:29" ht="15.75">
      <c r="A20" s="180" t="s">
        <v>27</v>
      </c>
      <c r="B20" s="182"/>
      <c r="C20" s="150"/>
      <c r="D20" s="152"/>
      <c r="E20" s="150"/>
      <c r="F20" s="150"/>
      <c r="G20" s="38">
        <f t="shared" si="0"/>
        <v>0</v>
      </c>
      <c r="H20" s="150"/>
      <c r="I20" s="150"/>
      <c r="J20" s="150"/>
      <c r="K20" s="150"/>
      <c r="L20" s="38">
        <f t="shared" si="1"/>
        <v>0</v>
      </c>
      <c r="M20" s="144"/>
      <c r="N20" s="41"/>
      <c r="O20" s="41"/>
      <c r="P20" s="41"/>
      <c r="Q20" s="159">
        <f t="shared" si="2"/>
        <v>0</v>
      </c>
      <c r="R20" s="39">
        <f t="shared" si="3"/>
        <v>0</v>
      </c>
      <c r="S20" s="41"/>
      <c r="T20" s="41"/>
      <c r="U20" s="41"/>
      <c r="V20" s="41"/>
      <c r="W20" s="159">
        <f t="shared" si="4"/>
        <v>0</v>
      </c>
      <c r="X20" s="41">
        <f t="shared" si="7"/>
        <v>0</v>
      </c>
      <c r="Y20" s="41">
        <f t="shared" si="5"/>
        <v>0</v>
      </c>
      <c r="Z20" s="41">
        <f t="shared" si="5"/>
        <v>0</v>
      </c>
      <c r="AA20" s="41">
        <f t="shared" si="5"/>
        <v>0</v>
      </c>
      <c r="AB20" s="38">
        <f t="shared" si="6"/>
        <v>0</v>
      </c>
      <c r="AC20" s="42"/>
    </row>
    <row r="21" spans="1:31" ht="15.75">
      <c r="A21" s="180" t="s">
        <v>28</v>
      </c>
      <c r="B21" s="183"/>
      <c r="C21" s="148">
        <v>768870.58</v>
      </c>
      <c r="D21" s="155">
        <v>232124.21</v>
      </c>
      <c r="E21" s="148"/>
      <c r="F21" s="155">
        <v>854165.94</v>
      </c>
      <c r="G21" s="38">
        <f t="shared" si="0"/>
        <v>1855160.73</v>
      </c>
      <c r="H21" s="150"/>
      <c r="I21" s="155">
        <v>337158.29</v>
      </c>
      <c r="J21" s="148"/>
      <c r="K21" s="155">
        <v>1055719.73</v>
      </c>
      <c r="L21" s="38">
        <f t="shared" si="1"/>
        <v>1392878.02</v>
      </c>
      <c r="M21" s="147"/>
      <c r="N21" s="87"/>
      <c r="O21" s="41"/>
      <c r="P21" s="41"/>
      <c r="Q21" s="159">
        <f t="shared" si="2"/>
        <v>0</v>
      </c>
      <c r="R21" s="39">
        <f t="shared" si="3"/>
        <v>3248038.75</v>
      </c>
      <c r="S21" s="41"/>
      <c r="T21" s="41"/>
      <c r="U21" s="41"/>
      <c r="V21" s="41"/>
      <c r="W21" s="159">
        <f t="shared" si="4"/>
        <v>0</v>
      </c>
      <c r="X21" s="41">
        <f t="shared" si="7"/>
        <v>768870.58</v>
      </c>
      <c r="Y21" s="41">
        <f t="shared" si="5"/>
        <v>569282.5</v>
      </c>
      <c r="Z21" s="41">
        <f>E21+J21+O21+U21</f>
        <v>0</v>
      </c>
      <c r="AA21" s="41">
        <f t="shared" si="5"/>
        <v>1909885.67</v>
      </c>
      <c r="AB21" s="38">
        <f t="shared" si="6"/>
        <v>3248038.75</v>
      </c>
      <c r="AC21" s="42"/>
      <c r="AE21" s="128"/>
    </row>
    <row r="22" spans="1:29" ht="15.75">
      <c r="A22" s="180" t="s">
        <v>29</v>
      </c>
      <c r="B22" s="183"/>
      <c r="C22" s="150"/>
      <c r="D22" s="152"/>
      <c r="E22" s="150"/>
      <c r="F22" s="150"/>
      <c r="G22" s="38">
        <f t="shared" si="0"/>
        <v>0</v>
      </c>
      <c r="H22" s="150"/>
      <c r="I22" s="150"/>
      <c r="J22" s="150"/>
      <c r="K22" s="150"/>
      <c r="L22" s="38">
        <f t="shared" si="1"/>
        <v>0</v>
      </c>
      <c r="M22" s="144"/>
      <c r="N22" s="41"/>
      <c r="O22" s="41"/>
      <c r="P22" s="41"/>
      <c r="Q22" s="159">
        <f t="shared" si="2"/>
        <v>0</v>
      </c>
      <c r="R22" s="39">
        <f t="shared" si="3"/>
        <v>0</v>
      </c>
      <c r="S22" s="41"/>
      <c r="T22" s="41"/>
      <c r="U22" s="41"/>
      <c r="V22" s="41"/>
      <c r="W22" s="159">
        <f t="shared" si="4"/>
        <v>0</v>
      </c>
      <c r="X22" s="41">
        <f t="shared" si="7"/>
        <v>0</v>
      </c>
      <c r="Y22" s="41">
        <f t="shared" si="5"/>
        <v>0</v>
      </c>
      <c r="Z22" s="41">
        <f t="shared" si="5"/>
        <v>0</v>
      </c>
      <c r="AA22" s="41">
        <f t="shared" si="5"/>
        <v>0</v>
      </c>
      <c r="AB22" s="38">
        <f t="shared" si="6"/>
        <v>0</v>
      </c>
      <c r="AC22" s="42"/>
    </row>
    <row r="23" spans="1:29" ht="15.75">
      <c r="A23" s="180" t="s">
        <v>30</v>
      </c>
      <c r="B23" s="183"/>
      <c r="C23" s="150"/>
      <c r="D23" s="152"/>
      <c r="E23" s="150"/>
      <c r="F23" s="150"/>
      <c r="G23" s="38">
        <f t="shared" si="0"/>
        <v>0</v>
      </c>
      <c r="H23" s="150"/>
      <c r="I23" s="150"/>
      <c r="J23" s="150"/>
      <c r="K23" s="150"/>
      <c r="L23" s="38">
        <f t="shared" si="1"/>
        <v>0</v>
      </c>
      <c r="M23" s="144"/>
      <c r="N23" s="41"/>
      <c r="O23" s="41"/>
      <c r="P23" s="41"/>
      <c r="Q23" s="159">
        <f t="shared" si="2"/>
        <v>0</v>
      </c>
      <c r="R23" s="39">
        <f t="shared" si="3"/>
        <v>0</v>
      </c>
      <c r="S23" s="41"/>
      <c r="T23" s="41"/>
      <c r="U23" s="41"/>
      <c r="V23" s="41"/>
      <c r="W23" s="159">
        <f t="shared" si="4"/>
        <v>0</v>
      </c>
      <c r="X23" s="41">
        <f t="shared" si="7"/>
        <v>0</v>
      </c>
      <c r="Y23" s="41">
        <f t="shared" si="5"/>
        <v>0</v>
      </c>
      <c r="Z23" s="41">
        <f t="shared" si="5"/>
        <v>0</v>
      </c>
      <c r="AA23" s="41">
        <f t="shared" si="5"/>
        <v>0</v>
      </c>
      <c r="AB23" s="38">
        <f t="shared" si="6"/>
        <v>0</v>
      </c>
      <c r="AC23" s="42"/>
    </row>
    <row r="24" spans="1:29" ht="15.75">
      <c r="A24" s="180" t="s">
        <v>31</v>
      </c>
      <c r="B24" s="183"/>
      <c r="C24" s="153"/>
      <c r="D24" s="152"/>
      <c r="E24" s="150"/>
      <c r="F24" s="150"/>
      <c r="G24" s="38">
        <f t="shared" si="0"/>
        <v>0</v>
      </c>
      <c r="H24" s="150"/>
      <c r="I24" s="150"/>
      <c r="J24" s="150"/>
      <c r="K24" s="150"/>
      <c r="L24" s="177">
        <f t="shared" si="1"/>
        <v>0</v>
      </c>
      <c r="M24" s="144"/>
      <c r="N24" s="41"/>
      <c r="O24" s="41"/>
      <c r="P24" s="41"/>
      <c r="Q24" s="159">
        <f t="shared" si="2"/>
        <v>0</v>
      </c>
      <c r="R24" s="39">
        <f t="shared" si="3"/>
        <v>0</v>
      </c>
      <c r="S24" s="41"/>
      <c r="T24" s="41"/>
      <c r="U24" s="41"/>
      <c r="V24" s="41"/>
      <c r="W24" s="159">
        <f t="shared" si="4"/>
        <v>0</v>
      </c>
      <c r="X24" s="41">
        <f t="shared" si="7"/>
        <v>0</v>
      </c>
      <c r="Y24" s="41">
        <f t="shared" si="5"/>
        <v>0</v>
      </c>
      <c r="Z24" s="41">
        <f t="shared" si="5"/>
        <v>0</v>
      </c>
      <c r="AA24" s="41">
        <f t="shared" si="5"/>
        <v>0</v>
      </c>
      <c r="AB24" s="38">
        <f t="shared" si="6"/>
        <v>0</v>
      </c>
      <c r="AC24" s="42"/>
    </row>
    <row r="25" spans="1:29" ht="16.5" thickBot="1">
      <c r="A25" s="47"/>
      <c r="B25" s="183" t="s">
        <v>32</v>
      </c>
      <c r="C25" s="146">
        <f>C17+C21+C22+C24+C20+C23</f>
        <v>8211609.390000001</v>
      </c>
      <c r="D25" s="146">
        <f>D17+D21+D22+D24+D20+D23</f>
        <v>14294018.101400001</v>
      </c>
      <c r="E25" s="146">
        <f>E17+E21+E22+E24+E20+E23</f>
        <v>0</v>
      </c>
      <c r="F25" s="146">
        <f>F17+F21+F22+F24+F20+F23</f>
        <v>14943490</v>
      </c>
      <c r="G25" s="146">
        <f>G17+G21+G22+G24+G20+G23</f>
        <v>37449117.491399996</v>
      </c>
      <c r="H25" s="146">
        <f>H17+H21+H22+H24+H20+H23</f>
        <v>0</v>
      </c>
      <c r="I25" s="146">
        <f>I17+I21+I22+I24+I20+I23</f>
        <v>67779219.98</v>
      </c>
      <c r="J25" s="146">
        <f>J17+J21+J22+J24+J20+J23</f>
        <v>0</v>
      </c>
      <c r="K25" s="146">
        <f>K17+K21+K22+K24+K20+K23</f>
        <v>22504087.400000002</v>
      </c>
      <c r="L25" s="146">
        <f>L17+L21+L22+L24+L20+L23</f>
        <v>90283307.38</v>
      </c>
      <c r="M25" s="146">
        <f>M17+M21+M22+M24+M20+M23</f>
        <v>0</v>
      </c>
      <c r="N25" s="160">
        <f>N17+N21+N22+N24+N20+N23</f>
        <v>0</v>
      </c>
      <c r="O25" s="146">
        <f>O17+O21+O22+O24+O20+O23</f>
        <v>0</v>
      </c>
      <c r="P25" s="160">
        <f>P17+P21+P22+P24+P20+P23</f>
        <v>0</v>
      </c>
      <c r="Q25" s="160">
        <f>Q17+Q21+Q22+Q24+Q20+Q23</f>
        <v>0</v>
      </c>
      <c r="R25" s="146">
        <f>R17+R21+R22+R24</f>
        <v>127732424.8714</v>
      </c>
      <c r="S25" s="146">
        <f>S17+S21+S22+S24+S20+S23</f>
        <v>0</v>
      </c>
      <c r="T25" s="146">
        <f>T17+T21+T22+T24+T20+T23</f>
        <v>0</v>
      </c>
      <c r="U25" s="146">
        <f>U17+U21+U22+U24+U20+U23</f>
        <v>0</v>
      </c>
      <c r="V25" s="146">
        <f>V17+V21+V22+V24+V20+V23</f>
        <v>0</v>
      </c>
      <c r="W25" s="146">
        <f>W17+W21+W22+W24+W20+W23</f>
        <v>0</v>
      </c>
      <c r="X25" s="146">
        <f>X17+X21+X22+X24+X20+X23</f>
        <v>8211609.390000001</v>
      </c>
      <c r="Y25" s="146">
        <f>Y17+Y21+Y22+Y24+Y20+Y23</f>
        <v>82073238.0814</v>
      </c>
      <c r="Z25" s="146">
        <f>Z17+Z21+Z22+Z24+Z20+Z23</f>
        <v>0</v>
      </c>
      <c r="AA25" s="146">
        <f>AA17+AA21+AA22+AA24+AA20+AA23</f>
        <v>37447577.400000006</v>
      </c>
      <c r="AB25" s="146">
        <f>AB17+AB21+AB22+AB24+AB20+AB23</f>
        <v>127732424.87140001</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83" t="s">
        <v>33</v>
      </c>
      <c r="H28" s="62"/>
      <c r="I28" s="62"/>
      <c r="J28" s="62"/>
      <c r="K28" s="62"/>
      <c r="L28" s="63"/>
      <c r="M28" s="63"/>
      <c r="N28" s="63"/>
      <c r="O28" s="63"/>
      <c r="P28" s="63"/>
      <c r="Q28" s="63"/>
      <c r="R28" s="63"/>
      <c r="S28" s="64"/>
      <c r="AC28" s="65"/>
    </row>
    <row r="29" spans="1:29" ht="26.25">
      <c r="A29" s="183"/>
      <c r="C29" s="78" t="s">
        <v>62</v>
      </c>
      <c r="D29" s="78" t="s">
        <v>34</v>
      </c>
      <c r="E29" s="78" t="s">
        <v>35</v>
      </c>
      <c r="F29" s="79"/>
      <c r="G29" s="78" t="s">
        <v>36</v>
      </c>
      <c r="H29" s="62"/>
      <c r="I29" s="62"/>
      <c r="J29" s="62"/>
      <c r="K29" s="62"/>
      <c r="L29" s="78" t="s">
        <v>34</v>
      </c>
      <c r="M29" s="78"/>
      <c r="N29" s="78" t="s">
        <v>35</v>
      </c>
      <c r="O29" s="79"/>
      <c r="P29" s="78" t="s">
        <v>36</v>
      </c>
      <c r="AB29" s="61">
        <v>124499943.07</v>
      </c>
      <c r="AC29" s="65"/>
    </row>
    <row r="30" spans="1:29" ht="15.75">
      <c r="A30" s="66" t="s">
        <v>37</v>
      </c>
      <c r="C30" s="62">
        <f>SUM(C31:C36)</f>
        <v>0</v>
      </c>
      <c r="D30" s="170">
        <f>SUM(D31:D36)</f>
        <v>682683471.47</v>
      </c>
      <c r="E30" s="170">
        <f>SUM(E31:E36)</f>
        <v>83890038.75</v>
      </c>
      <c r="F30" s="62"/>
      <c r="G30" s="170">
        <f>SUM(G31:G36)</f>
        <v>766573510.22</v>
      </c>
      <c r="H30" s="62"/>
      <c r="I30" s="254" t="s">
        <v>52</v>
      </c>
      <c r="J30" s="67" t="s">
        <v>38</v>
      </c>
      <c r="K30" s="62"/>
      <c r="L30" s="170">
        <f>'101 JULY'!P30</f>
        <v>671608694</v>
      </c>
      <c r="M30" s="68"/>
      <c r="N30" s="68">
        <f>N34+N42</f>
        <v>80642000</v>
      </c>
      <c r="O30" s="68"/>
      <c r="P30" s="170">
        <f>L30+N30</f>
        <v>752250694</v>
      </c>
      <c r="AB30" s="64">
        <v>124484386.12</v>
      </c>
      <c r="AC30" s="65"/>
    </row>
    <row r="31" spans="1:29" ht="15.75">
      <c r="A31" s="69"/>
      <c r="B31" s="66" t="s">
        <v>39</v>
      </c>
      <c r="C31" s="68"/>
      <c r="D31" s="170">
        <f>'101 JULY'!G31</f>
        <v>661576694</v>
      </c>
      <c r="E31" s="170">
        <f>79786000+856000</f>
        <v>80642000</v>
      </c>
      <c r="F31" s="62"/>
      <c r="G31" s="179">
        <f>C31+E31+D31</f>
        <v>742218694</v>
      </c>
      <c r="H31" s="62"/>
      <c r="I31" s="254"/>
      <c r="J31" s="64" t="s">
        <v>40</v>
      </c>
      <c r="K31" s="62"/>
      <c r="L31" s="172">
        <f>'101 JULY'!P31</f>
        <v>575665481.99</v>
      </c>
      <c r="M31" s="70"/>
      <c r="N31" s="70">
        <f>+N35+N39+N43</f>
        <v>127732424.8714</v>
      </c>
      <c r="O31" s="70"/>
      <c r="P31" s="171">
        <f>L31+N31</f>
        <v>703397906.8614</v>
      </c>
      <c r="AB31" s="64">
        <f>+AB29-AB30</f>
        <v>15556.949999988079</v>
      </c>
      <c r="AC31" s="65"/>
    </row>
    <row r="32" spans="1:29" ht="16.5" thickBot="1">
      <c r="A32" s="69"/>
      <c r="B32" s="66" t="s">
        <v>67</v>
      </c>
      <c r="C32" s="62"/>
      <c r="D32" s="170"/>
      <c r="E32" s="170"/>
      <c r="F32" s="62"/>
      <c r="G32" s="63">
        <f aca="true" t="shared" si="8" ref="G32:G38">C32+E32+D32</f>
        <v>0</v>
      </c>
      <c r="H32" s="62"/>
      <c r="I32" s="254"/>
      <c r="J32" s="64" t="s">
        <v>41</v>
      </c>
      <c r="K32" s="62"/>
      <c r="L32" s="168">
        <f>L30-L31</f>
        <v>95943212.00999999</v>
      </c>
      <c r="M32" s="70"/>
      <c r="N32" s="168">
        <f>N30-N31</f>
        <v>-47090424.8714</v>
      </c>
      <c r="O32" s="70"/>
      <c r="P32" s="169">
        <f>P30-P31</f>
        <v>48852787.13859999</v>
      </c>
      <c r="AB32" s="64"/>
      <c r="AC32" s="65"/>
    </row>
    <row r="33" spans="1:29" ht="16.5" thickTop="1">
      <c r="A33" s="69"/>
      <c r="B33" s="66" t="s">
        <v>42</v>
      </c>
      <c r="C33" s="62"/>
      <c r="D33" s="170">
        <f>'101 JULY'!G33</f>
        <v>21106777.47</v>
      </c>
      <c r="E33" s="170">
        <f>+AB21</f>
        <v>3248038.75</v>
      </c>
      <c r="F33" s="62"/>
      <c r="G33" s="179">
        <f t="shared" si="8"/>
        <v>24354816.22</v>
      </c>
      <c r="H33" s="62"/>
      <c r="I33" s="76"/>
      <c r="J33" s="64"/>
      <c r="K33" s="62"/>
      <c r="L33" s="172"/>
      <c r="M33" s="64"/>
      <c r="N33" s="64"/>
      <c r="O33" s="64"/>
      <c r="P33" s="172"/>
      <c r="R33" s="140" t="s">
        <v>58</v>
      </c>
      <c r="X33" s="140" t="s">
        <v>60</v>
      </c>
      <c r="AB33" s="64"/>
      <c r="AC33" s="65"/>
    </row>
    <row r="34" spans="1:29" ht="15" customHeight="1">
      <c r="A34" s="69"/>
      <c r="B34" s="66" t="s">
        <v>43</v>
      </c>
      <c r="C34" s="62"/>
      <c r="D34" s="62"/>
      <c r="E34" s="170"/>
      <c r="F34" s="62"/>
      <c r="G34" s="63">
        <f t="shared" si="8"/>
        <v>0</v>
      </c>
      <c r="H34" s="62"/>
      <c r="I34" s="254" t="s">
        <v>53</v>
      </c>
      <c r="J34" s="67" t="s">
        <v>38</v>
      </c>
      <c r="K34" s="62"/>
      <c r="L34" s="170">
        <f>'101 JULY'!P34</f>
        <v>648978694</v>
      </c>
      <c r="M34" s="68"/>
      <c r="N34" s="68">
        <f>E31</f>
        <v>80642000</v>
      </c>
      <c r="O34" s="68"/>
      <c r="P34" s="170">
        <f>L34+N34</f>
        <v>729620694</v>
      </c>
      <c r="AB34" s="64"/>
      <c r="AC34" s="65"/>
    </row>
    <row r="35" spans="1:29" ht="15.75">
      <c r="A35" s="69"/>
      <c r="B35" s="66" t="s">
        <v>44</v>
      </c>
      <c r="C35" s="62"/>
      <c r="D35" s="62"/>
      <c r="E35" s="62"/>
      <c r="F35" s="62"/>
      <c r="G35" s="63">
        <f t="shared" si="8"/>
        <v>0</v>
      </c>
      <c r="H35" s="62"/>
      <c r="I35" s="254"/>
      <c r="J35" s="64" t="s">
        <v>40</v>
      </c>
      <c r="K35" s="62"/>
      <c r="L35" s="172">
        <f>'101 JULY'!P35</f>
        <v>250027701.39999998</v>
      </c>
      <c r="M35" s="70"/>
      <c r="N35" s="70">
        <f>+G25</f>
        <v>37449117.491399996</v>
      </c>
      <c r="O35" s="70"/>
      <c r="P35" s="171">
        <f>L35+N35</f>
        <v>287476818.8914</v>
      </c>
      <c r="AB35" s="64"/>
      <c r="AC35" s="65"/>
    </row>
    <row r="36" spans="1:29" ht="16.5" thickBot="1">
      <c r="A36" s="69"/>
      <c r="B36" s="66" t="s">
        <v>45</v>
      </c>
      <c r="C36" s="62"/>
      <c r="D36" s="62"/>
      <c r="E36" s="62"/>
      <c r="F36" s="62"/>
      <c r="G36" s="63">
        <f t="shared" si="8"/>
        <v>0</v>
      </c>
      <c r="H36" s="62"/>
      <c r="I36" s="254"/>
      <c r="J36" s="64" t="s">
        <v>41</v>
      </c>
      <c r="K36" s="62"/>
      <c r="L36" s="168">
        <f>L34-L35</f>
        <v>398950992.6</v>
      </c>
      <c r="M36" s="70"/>
      <c r="N36" s="72">
        <f>N34-N35</f>
        <v>43192882.508600004</v>
      </c>
      <c r="O36" s="70"/>
      <c r="P36" s="169">
        <f>P34-P35</f>
        <v>442143875.1086</v>
      </c>
      <c r="AB36" s="64"/>
      <c r="AC36" s="65"/>
    </row>
    <row r="37" spans="1:29" ht="16.5" thickTop="1">
      <c r="A37" s="74" t="s">
        <v>46</v>
      </c>
      <c r="B37" s="66"/>
      <c r="C37" s="62"/>
      <c r="D37" s="62"/>
      <c r="E37" s="62"/>
      <c r="F37" s="62"/>
      <c r="G37" s="63">
        <f t="shared" si="8"/>
        <v>0</v>
      </c>
      <c r="H37" s="62"/>
      <c r="I37" s="76"/>
      <c r="J37" s="64"/>
      <c r="K37" s="62"/>
      <c r="L37" s="172"/>
      <c r="M37" s="64"/>
      <c r="N37" s="64"/>
      <c r="O37" s="64"/>
      <c r="P37" s="172"/>
      <c r="R37" s="140" t="s">
        <v>81</v>
      </c>
      <c r="X37" s="259" t="s">
        <v>90</v>
      </c>
      <c r="Y37" s="259"/>
      <c r="AB37" s="64"/>
      <c r="AC37" s="65"/>
    </row>
    <row r="38" spans="1:29" ht="15" customHeight="1">
      <c r="A38" s="74" t="s">
        <v>47</v>
      </c>
      <c r="B38" s="66"/>
      <c r="C38" s="62"/>
      <c r="D38" s="62"/>
      <c r="E38" s="62"/>
      <c r="F38" s="62"/>
      <c r="G38" s="63">
        <f t="shared" si="8"/>
        <v>0</v>
      </c>
      <c r="H38" s="62"/>
      <c r="I38" s="254" t="s">
        <v>54</v>
      </c>
      <c r="J38" s="67" t="s">
        <v>38</v>
      </c>
      <c r="K38" s="62"/>
      <c r="L38" s="170"/>
      <c r="M38" s="68"/>
      <c r="N38" s="68"/>
      <c r="O38" s="68"/>
      <c r="P38" s="170">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f>+O25</f>
        <v>0</v>
      </c>
      <c r="M39" s="70"/>
      <c r="N39" s="70">
        <f>+Q25</f>
        <v>0</v>
      </c>
      <c r="O39" s="70"/>
      <c r="P39" s="70">
        <f>+S25</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2">
        <f>P38-P39</f>
        <v>0</v>
      </c>
      <c r="AB40" s="64"/>
      <c r="AC40" s="65"/>
    </row>
    <row r="41" spans="1:29" ht="16.5" thickTop="1">
      <c r="A41" s="66" t="s">
        <v>48</v>
      </c>
      <c r="B41" s="66"/>
      <c r="C41" s="62">
        <f>C30-C37+C38-C39+C40</f>
        <v>0</v>
      </c>
      <c r="D41" s="170">
        <f>D30-D37+D38-D39+D40</f>
        <v>682683471.47</v>
      </c>
      <c r="E41" s="170">
        <f>E30-E37+E38-E39+E40</f>
        <v>83890038.75</v>
      </c>
      <c r="F41" s="62"/>
      <c r="G41" s="170">
        <f>G30-G37+G38-G39+G40</f>
        <v>766573510.22</v>
      </c>
      <c r="H41" s="62"/>
      <c r="I41" s="76"/>
      <c r="J41" s="64"/>
      <c r="K41" s="62"/>
      <c r="L41" s="172"/>
      <c r="M41" s="64"/>
      <c r="N41" s="64"/>
      <c r="O41" s="64"/>
      <c r="P41" s="172"/>
      <c r="AB41" s="64"/>
      <c r="AC41" s="65"/>
    </row>
    <row r="42" spans="1:29" ht="15" customHeight="1">
      <c r="A42" s="74" t="s">
        <v>51</v>
      </c>
      <c r="B42" s="66"/>
      <c r="C42" s="62"/>
      <c r="D42" s="170">
        <f>'101 JULY'!G42</f>
        <v>825338.72</v>
      </c>
      <c r="E42" s="170"/>
      <c r="F42" s="62"/>
      <c r="G42" s="179">
        <f>C42+E42+D42</f>
        <v>825338.72</v>
      </c>
      <c r="H42" s="62"/>
      <c r="I42" s="254" t="s">
        <v>55</v>
      </c>
      <c r="J42" s="67" t="s">
        <v>38</v>
      </c>
      <c r="K42" s="62"/>
      <c r="L42" s="170">
        <f>'101 JULY'!P42</f>
        <v>22630000</v>
      </c>
      <c r="M42" s="68"/>
      <c r="N42" s="68">
        <v>0</v>
      </c>
      <c r="O42" s="68"/>
      <c r="P42" s="170">
        <f>L42+N42</f>
        <v>22630000</v>
      </c>
      <c r="AB42" s="64"/>
      <c r="AC42" s="65"/>
    </row>
    <row r="43" spans="1:29" ht="15.75">
      <c r="A43" s="69"/>
      <c r="B43" s="66" t="s">
        <v>49</v>
      </c>
      <c r="C43" s="62"/>
      <c r="D43" s="170">
        <f>'101 JULY'!G43</f>
        <v>575665481.99</v>
      </c>
      <c r="E43" s="170">
        <f>AB25</f>
        <v>127732424.87140001</v>
      </c>
      <c r="F43" s="62"/>
      <c r="G43" s="179">
        <f>C43+E43+D43</f>
        <v>703397906.8614</v>
      </c>
      <c r="H43" s="62"/>
      <c r="I43" s="254"/>
      <c r="J43" s="64" t="s">
        <v>40</v>
      </c>
      <c r="K43" s="62"/>
      <c r="L43" s="172">
        <f>'101 JULY'!P43</f>
        <v>325637780.59</v>
      </c>
      <c r="M43" s="70"/>
      <c r="N43" s="70">
        <f>+L25</f>
        <v>90283307.38</v>
      </c>
      <c r="O43" s="70"/>
      <c r="P43" s="171">
        <f>L43+N43</f>
        <v>415921087.96999997</v>
      </c>
      <c r="AB43" s="64"/>
      <c r="AC43" s="65"/>
    </row>
    <row r="44" spans="1:29" ht="16.5" thickBot="1">
      <c r="A44" s="74" t="s">
        <v>50</v>
      </c>
      <c r="B44" s="49"/>
      <c r="C44" s="75">
        <f>C41-C42-C43</f>
        <v>0</v>
      </c>
      <c r="D44" s="75">
        <f>D41-D42-D43</f>
        <v>106192650.75999999</v>
      </c>
      <c r="E44" s="178">
        <f>E41-E42-E43</f>
        <v>-43842386.12140001</v>
      </c>
      <c r="F44" s="62"/>
      <c r="G44" s="75">
        <f>G41-G42-G43</f>
        <v>62350264.63859999</v>
      </c>
      <c r="H44" s="62"/>
      <c r="I44" s="254"/>
      <c r="J44" s="64" t="s">
        <v>41</v>
      </c>
      <c r="K44" s="62"/>
      <c r="L44" s="168">
        <f>L42-L43</f>
        <v>-303007780.59</v>
      </c>
      <c r="M44" s="70"/>
      <c r="N44" s="168">
        <f>N42-N43</f>
        <v>-90283307.38</v>
      </c>
      <c r="O44" s="70"/>
      <c r="P44" s="169">
        <f>P42-P43</f>
        <v>-393291087.96999997</v>
      </c>
      <c r="AB44" s="64"/>
      <c r="AC44" s="65"/>
    </row>
    <row r="45" spans="1:7" ht="16.5" thickTop="1">
      <c r="A45" s="69"/>
      <c r="B45" s="49"/>
      <c r="C45" s="62"/>
      <c r="D45" s="62"/>
      <c r="E45" s="62"/>
      <c r="F45" s="62"/>
      <c r="G45" s="63"/>
    </row>
    <row r="46" spans="1:7" ht="15.75">
      <c r="A46" s="69"/>
      <c r="B46" s="183"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row r="62" ht="15.75">
      <c r="B62" s="60" t="s">
        <v>98</v>
      </c>
    </row>
    <row r="63" spans="2:3" ht="15.75">
      <c r="B63" s="60" t="s">
        <v>96</v>
      </c>
      <c r="C63" s="61">
        <v>824941.75</v>
      </c>
    </row>
    <row r="64" spans="2:4" ht="15.75">
      <c r="B64" s="60" t="s">
        <v>97</v>
      </c>
      <c r="C64" s="61">
        <f>825338.72-824941.75</f>
        <v>396.96999999997206</v>
      </c>
      <c r="D64" s="61">
        <f>+C64+C63</f>
        <v>825338.72</v>
      </c>
    </row>
    <row r="67" ht="15.75">
      <c r="H67" s="61">
        <v>62350264.64</v>
      </c>
    </row>
    <row r="68" ht="15.75">
      <c r="H68" s="61">
        <v>63175603.36</v>
      </c>
    </row>
    <row r="69" ht="15.75">
      <c r="H69" s="61">
        <f>+H67-H68</f>
        <v>-825338.7199999988</v>
      </c>
    </row>
  </sheetData>
  <sheetProtection/>
  <mergeCells count="29">
    <mergeCell ref="A16:B16"/>
    <mergeCell ref="A17:B17"/>
    <mergeCell ref="A18:B18"/>
    <mergeCell ref="I30:I32"/>
    <mergeCell ref="I34:I36"/>
    <mergeCell ref="X15:AB15"/>
    <mergeCell ref="I38:I40"/>
    <mergeCell ref="R38:S38"/>
    <mergeCell ref="X38:Y38"/>
    <mergeCell ref="I42:I44"/>
    <mergeCell ref="X37:Y37"/>
    <mergeCell ref="A15:B15"/>
    <mergeCell ref="C15:G15"/>
    <mergeCell ref="H15:L15"/>
    <mergeCell ref="M15:Q15"/>
    <mergeCell ref="S15:W15"/>
    <mergeCell ref="AB1:AC1"/>
    <mergeCell ref="A2:AC2"/>
    <mergeCell ref="A3:AC3"/>
    <mergeCell ref="A4:AC4"/>
    <mergeCell ref="A12:B14"/>
    <mergeCell ref="C12:G13"/>
    <mergeCell ref="H12:Q12"/>
    <mergeCell ref="R12:R14"/>
    <mergeCell ref="S12:W13"/>
    <mergeCell ref="X12:AB13"/>
    <mergeCell ref="AC12:AC14"/>
    <mergeCell ref="H13:L13"/>
    <mergeCell ref="M13:Q13"/>
  </mergeCells>
  <printOptions horizontalCentered="1"/>
  <pageMargins left="0.79" right="0.79" top="0.75" bottom="0.75" header="0.3" footer="0.3"/>
  <pageSetup horizontalDpi="600" verticalDpi="600" orientation="landscape" paperSize="3" scale="60" r:id="rId1"/>
</worksheet>
</file>

<file path=xl/worksheets/sheet7.xml><?xml version="1.0" encoding="utf-8"?>
<worksheet xmlns="http://schemas.openxmlformats.org/spreadsheetml/2006/main" xmlns:r="http://schemas.openxmlformats.org/officeDocument/2006/relationships">
  <dimension ref="A1:AE54"/>
  <sheetViews>
    <sheetView view="pageBreakPreview" zoomScale="85" zoomScaleNormal="115" zoomScaleSheetLayoutView="85" zoomScalePageLayoutView="0" workbookViewId="0" topLeftCell="A13">
      <selection activeCell="AB34" sqref="AB34"/>
    </sheetView>
  </sheetViews>
  <sheetFormatPr defaultColWidth="11.00390625" defaultRowHeight="15.75"/>
  <cols>
    <col min="1" max="1" width="2.875" style="60" customWidth="1"/>
    <col min="2" max="2" width="27.00390625" style="60" customWidth="1"/>
    <col min="3" max="3" width="12.125" style="61" customWidth="1"/>
    <col min="4" max="4" width="13.375" style="61" customWidth="1"/>
    <col min="5" max="5" width="13.25390625" style="61" customWidth="1"/>
    <col min="6" max="6" width="12.375" style="61" customWidth="1"/>
    <col min="7" max="7" width="13.75390625" style="61" customWidth="1"/>
    <col min="8" max="8" width="11.625" style="61" customWidth="1"/>
    <col min="9" max="9" width="12.625" style="61" customWidth="1"/>
    <col min="10" max="10" width="10.625" style="61" customWidth="1"/>
    <col min="11" max="11" width="13.00390625" style="61" customWidth="1"/>
    <col min="12" max="12" width="13.50390625" style="61" customWidth="1"/>
    <col min="13" max="13" width="4.125" style="61" customWidth="1"/>
    <col min="14" max="14" width="13.125" style="61" customWidth="1"/>
    <col min="15" max="15" width="4.25390625" style="61" customWidth="1"/>
    <col min="16" max="16" width="14.25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5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93</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37">
        <f>C18+C19</f>
        <v>4027634.4000000004</v>
      </c>
      <c r="D17" s="143">
        <f>D18+D19</f>
        <v>10320431.280000001</v>
      </c>
      <c r="E17" s="37">
        <f>E18+E19</f>
        <v>0</v>
      </c>
      <c r="F17" s="37">
        <f>F18+F19</f>
        <v>4122777.66</v>
      </c>
      <c r="G17" s="38">
        <f>SUM(C17:F17)</f>
        <v>18470843.340000004</v>
      </c>
      <c r="H17" s="37">
        <f>H18+H19</f>
        <v>0</v>
      </c>
      <c r="I17" s="37">
        <f>I18+I19</f>
        <v>8211540.34</v>
      </c>
      <c r="J17" s="37">
        <f>J18+J19</f>
        <v>0</v>
      </c>
      <c r="K17" s="37">
        <f>K18+K19</f>
        <v>4275965.56</v>
      </c>
      <c r="L17" s="38">
        <f>SUM(H17:K17)</f>
        <v>12487505.899999999</v>
      </c>
      <c r="M17" s="143">
        <f>M18+M19</f>
        <v>0</v>
      </c>
      <c r="N17" s="157">
        <f>N18+N19</f>
        <v>0</v>
      </c>
      <c r="O17" s="37">
        <f>O18+O19</f>
        <v>0</v>
      </c>
      <c r="P17" s="157">
        <f>P18+P19</f>
        <v>0</v>
      </c>
      <c r="Q17" s="159">
        <f>SUM(M17:P17)</f>
        <v>0</v>
      </c>
      <c r="R17" s="39">
        <f>G17+L17+Q17</f>
        <v>30958349.240000002</v>
      </c>
      <c r="S17" s="37">
        <f>S18+S19</f>
        <v>0</v>
      </c>
      <c r="T17" s="37">
        <f>T18+T19</f>
        <v>0</v>
      </c>
      <c r="U17" s="37">
        <f>U18+U19</f>
        <v>0</v>
      </c>
      <c r="V17" s="37">
        <f>V18+V19</f>
        <v>0</v>
      </c>
      <c r="W17" s="38">
        <f>SUM(S17:V17)</f>
        <v>0</v>
      </c>
      <c r="X17" s="37">
        <f>X18+X19</f>
        <v>4027634.4000000004</v>
      </c>
      <c r="Y17" s="37">
        <f>Y18+Y19</f>
        <v>18531971.619999997</v>
      </c>
      <c r="Z17" s="37">
        <f>Z18+Z19</f>
        <v>0</v>
      </c>
      <c r="AA17" s="37">
        <f>AA18+AA19</f>
        <v>8398743.22</v>
      </c>
      <c r="AB17" s="38">
        <f>SUM(X17:AA17)</f>
        <v>30958349.239999995</v>
      </c>
      <c r="AC17" s="40"/>
    </row>
    <row r="18" spans="1:31" ht="15.75">
      <c r="A18" s="252" t="s">
        <v>25</v>
      </c>
      <c r="B18" s="253"/>
      <c r="C18" s="148">
        <f>5640898.37-1618263.97</f>
        <v>4022634.4000000004</v>
      </c>
      <c r="D18" s="149">
        <f>7610823.59-5410.55</f>
        <v>7605413.04</v>
      </c>
      <c r="E18" s="150"/>
      <c r="F18" s="150">
        <v>4122777.66</v>
      </c>
      <c r="G18" s="38">
        <f aca="true" t="shared" si="0" ref="G18:G24">SUM(C18:F18)</f>
        <v>15750825.100000001</v>
      </c>
      <c r="H18" s="155"/>
      <c r="I18" s="148">
        <v>8211540.34</v>
      </c>
      <c r="J18" s="154"/>
      <c r="K18" s="154">
        <v>3363893.84</v>
      </c>
      <c r="L18" s="38">
        <f aca="true" t="shared" si="1" ref="L18:L24">SUM(H18:K18)</f>
        <v>11575434.18</v>
      </c>
      <c r="M18" s="144"/>
      <c r="N18" s="41"/>
      <c r="O18" s="41"/>
      <c r="P18" s="41"/>
      <c r="Q18" s="159">
        <f aca="true" t="shared" si="2" ref="Q18:Q24">SUM(M18:P18)</f>
        <v>0</v>
      </c>
      <c r="R18" s="39">
        <f aca="true" t="shared" si="3" ref="R18:R24">G18+L18+Q18</f>
        <v>27326259.28</v>
      </c>
      <c r="S18" s="41"/>
      <c r="T18" s="41"/>
      <c r="U18" s="41"/>
      <c r="V18" s="41"/>
      <c r="W18" s="159">
        <f aca="true" t="shared" si="4" ref="W18:W24">SUM(S18:V18)</f>
        <v>0</v>
      </c>
      <c r="X18" s="41">
        <f>C18+H18+M18+S18</f>
        <v>4022634.4000000004</v>
      </c>
      <c r="Y18" s="41">
        <f aca="true" t="shared" si="5" ref="Y18:AA24">D18+I18+N18+T18</f>
        <v>15816953.379999999</v>
      </c>
      <c r="Z18" s="41">
        <f t="shared" si="5"/>
        <v>0</v>
      </c>
      <c r="AA18" s="41">
        <f t="shared" si="5"/>
        <v>7486671.5</v>
      </c>
      <c r="AB18" s="38">
        <f aca="true" t="shared" si="6" ref="AB18:AB24">SUM(X18:AA18)</f>
        <v>27326259.28</v>
      </c>
      <c r="AC18" s="42"/>
      <c r="AE18" s="128"/>
    </row>
    <row r="19" spans="1:29" ht="15.75">
      <c r="A19" s="174" t="s">
        <v>26</v>
      </c>
      <c r="B19" s="175"/>
      <c r="C19" s="150">
        <v>5000</v>
      </c>
      <c r="D19" s="151">
        <v>2715018.24</v>
      </c>
      <c r="E19" s="150"/>
      <c r="F19" s="150"/>
      <c r="G19" s="38">
        <f t="shared" si="0"/>
        <v>2720018.24</v>
      </c>
      <c r="H19" s="150"/>
      <c r="I19" s="151"/>
      <c r="J19" s="150"/>
      <c r="K19" s="150">
        <v>912071.72</v>
      </c>
      <c r="L19" s="38">
        <f t="shared" si="1"/>
        <v>912071.72</v>
      </c>
      <c r="M19" s="144"/>
      <c r="N19" s="41"/>
      <c r="O19" s="41"/>
      <c r="P19" s="41"/>
      <c r="Q19" s="159">
        <f t="shared" si="2"/>
        <v>0</v>
      </c>
      <c r="R19" s="39">
        <f t="shared" si="3"/>
        <v>3632089.96</v>
      </c>
      <c r="S19" s="41"/>
      <c r="T19" s="41"/>
      <c r="U19" s="41"/>
      <c r="V19" s="41"/>
      <c r="W19" s="159">
        <f t="shared" si="4"/>
        <v>0</v>
      </c>
      <c r="X19" s="41">
        <f aca="true" t="shared" si="7" ref="X19:X24">C19+H19+M19+S19</f>
        <v>5000</v>
      </c>
      <c r="Y19" s="41">
        <f t="shared" si="5"/>
        <v>2715018.24</v>
      </c>
      <c r="Z19" s="41">
        <f t="shared" si="5"/>
        <v>0</v>
      </c>
      <c r="AA19" s="41">
        <f t="shared" si="5"/>
        <v>912071.72</v>
      </c>
      <c r="AB19" s="38">
        <f t="shared" si="6"/>
        <v>3632089.96</v>
      </c>
      <c r="AC19" s="42"/>
    </row>
    <row r="20" spans="1:29" ht="15.75">
      <c r="A20" s="173" t="s">
        <v>27</v>
      </c>
      <c r="B20" s="175"/>
      <c r="C20" s="150"/>
      <c r="D20" s="152"/>
      <c r="E20" s="150"/>
      <c r="F20" s="150"/>
      <c r="G20" s="38">
        <f t="shared" si="0"/>
        <v>0</v>
      </c>
      <c r="H20" s="150"/>
      <c r="I20" s="150"/>
      <c r="J20" s="150"/>
      <c r="K20" s="150"/>
      <c r="L20" s="38">
        <f t="shared" si="1"/>
        <v>0</v>
      </c>
      <c r="M20" s="144"/>
      <c r="N20" s="41"/>
      <c r="O20" s="41"/>
      <c r="P20" s="41"/>
      <c r="Q20" s="159">
        <f t="shared" si="2"/>
        <v>0</v>
      </c>
      <c r="R20" s="39">
        <f t="shared" si="3"/>
        <v>0</v>
      </c>
      <c r="S20" s="41"/>
      <c r="T20" s="41"/>
      <c r="U20" s="41"/>
      <c r="V20" s="41"/>
      <c r="W20" s="159">
        <f t="shared" si="4"/>
        <v>0</v>
      </c>
      <c r="X20" s="41">
        <f t="shared" si="7"/>
        <v>0</v>
      </c>
      <c r="Y20" s="41">
        <f t="shared" si="5"/>
        <v>0</v>
      </c>
      <c r="Z20" s="41">
        <f t="shared" si="5"/>
        <v>0</v>
      </c>
      <c r="AA20" s="41">
        <f t="shared" si="5"/>
        <v>0</v>
      </c>
      <c r="AB20" s="38">
        <f t="shared" si="6"/>
        <v>0</v>
      </c>
      <c r="AC20" s="42"/>
    </row>
    <row r="21" spans="1:31" ht="15.75">
      <c r="A21" s="173" t="s">
        <v>28</v>
      </c>
      <c r="B21" s="176"/>
      <c r="C21" s="148">
        <v>832315.27</v>
      </c>
      <c r="D21" s="155">
        <v>174567.6</v>
      </c>
      <c r="E21" s="148"/>
      <c r="F21" s="155">
        <v>289841.17</v>
      </c>
      <c r="G21" s="38">
        <f t="shared" si="0"/>
        <v>1296724.04</v>
      </c>
      <c r="H21" s="150"/>
      <c r="I21" s="155">
        <v>324212.28</v>
      </c>
      <c r="J21" s="148"/>
      <c r="K21" s="155">
        <v>7056.16</v>
      </c>
      <c r="L21" s="38">
        <f t="shared" si="1"/>
        <v>331268.44</v>
      </c>
      <c r="M21" s="147"/>
      <c r="N21" s="87"/>
      <c r="O21" s="41"/>
      <c r="P21" s="41"/>
      <c r="Q21" s="159">
        <f t="shared" si="2"/>
        <v>0</v>
      </c>
      <c r="R21" s="39">
        <f t="shared" si="3"/>
        <v>1627992.48</v>
      </c>
      <c r="S21" s="41"/>
      <c r="T21" s="41"/>
      <c r="U21" s="41"/>
      <c r="V21" s="41"/>
      <c r="W21" s="159">
        <f t="shared" si="4"/>
        <v>0</v>
      </c>
      <c r="X21" s="41">
        <f t="shared" si="7"/>
        <v>832315.27</v>
      </c>
      <c r="Y21" s="41">
        <f t="shared" si="5"/>
        <v>498779.88</v>
      </c>
      <c r="Z21" s="41">
        <f>E21+J21+O21+U21</f>
        <v>0</v>
      </c>
      <c r="AA21" s="41">
        <f t="shared" si="5"/>
        <v>296897.32999999996</v>
      </c>
      <c r="AB21" s="38">
        <f t="shared" si="6"/>
        <v>1627992.48</v>
      </c>
      <c r="AC21" s="42"/>
      <c r="AE21" s="128"/>
    </row>
    <row r="22" spans="1:29" ht="15.75">
      <c r="A22" s="173" t="s">
        <v>29</v>
      </c>
      <c r="B22" s="176"/>
      <c r="C22" s="150"/>
      <c r="D22" s="152"/>
      <c r="E22" s="150"/>
      <c r="F22" s="150"/>
      <c r="G22" s="38">
        <f t="shared" si="0"/>
        <v>0</v>
      </c>
      <c r="H22" s="150"/>
      <c r="I22" s="150"/>
      <c r="J22" s="150"/>
      <c r="K22" s="150"/>
      <c r="L22" s="38">
        <f t="shared" si="1"/>
        <v>0</v>
      </c>
      <c r="M22" s="144"/>
      <c r="N22" s="41"/>
      <c r="O22" s="41"/>
      <c r="P22" s="41"/>
      <c r="Q22" s="159">
        <f t="shared" si="2"/>
        <v>0</v>
      </c>
      <c r="R22" s="39">
        <f t="shared" si="3"/>
        <v>0</v>
      </c>
      <c r="S22" s="41"/>
      <c r="T22" s="41"/>
      <c r="U22" s="41"/>
      <c r="V22" s="41"/>
      <c r="W22" s="159">
        <f t="shared" si="4"/>
        <v>0</v>
      </c>
      <c r="X22" s="41">
        <f t="shared" si="7"/>
        <v>0</v>
      </c>
      <c r="Y22" s="41">
        <f t="shared" si="5"/>
        <v>0</v>
      </c>
      <c r="Z22" s="41">
        <f t="shared" si="5"/>
        <v>0</v>
      </c>
      <c r="AA22" s="41">
        <f t="shared" si="5"/>
        <v>0</v>
      </c>
      <c r="AB22" s="38">
        <f t="shared" si="6"/>
        <v>0</v>
      </c>
      <c r="AC22" s="42"/>
    </row>
    <row r="23" spans="1:29" ht="15.75">
      <c r="A23" s="173" t="s">
        <v>30</v>
      </c>
      <c r="B23" s="176"/>
      <c r="C23" s="150"/>
      <c r="D23" s="152"/>
      <c r="E23" s="150"/>
      <c r="F23" s="150"/>
      <c r="G23" s="38">
        <f t="shared" si="0"/>
        <v>0</v>
      </c>
      <c r="H23" s="150"/>
      <c r="I23" s="150"/>
      <c r="J23" s="150"/>
      <c r="K23" s="150"/>
      <c r="L23" s="38">
        <f t="shared" si="1"/>
        <v>0</v>
      </c>
      <c r="M23" s="144"/>
      <c r="N23" s="41"/>
      <c r="O23" s="41"/>
      <c r="P23" s="41"/>
      <c r="Q23" s="159">
        <f t="shared" si="2"/>
        <v>0</v>
      </c>
      <c r="R23" s="39">
        <f t="shared" si="3"/>
        <v>0</v>
      </c>
      <c r="S23" s="41"/>
      <c r="T23" s="41"/>
      <c r="U23" s="41"/>
      <c r="V23" s="41"/>
      <c r="W23" s="159">
        <f t="shared" si="4"/>
        <v>0</v>
      </c>
      <c r="X23" s="41">
        <f t="shared" si="7"/>
        <v>0</v>
      </c>
      <c r="Y23" s="41">
        <f t="shared" si="5"/>
        <v>0</v>
      </c>
      <c r="Z23" s="41">
        <f t="shared" si="5"/>
        <v>0</v>
      </c>
      <c r="AA23" s="41">
        <f t="shared" si="5"/>
        <v>0</v>
      </c>
      <c r="AB23" s="38">
        <f t="shared" si="6"/>
        <v>0</v>
      </c>
      <c r="AC23" s="42"/>
    </row>
    <row r="24" spans="1:29" ht="15.75">
      <c r="A24" s="173" t="s">
        <v>31</v>
      </c>
      <c r="B24" s="176"/>
      <c r="C24" s="153"/>
      <c r="D24" s="152"/>
      <c r="E24" s="150"/>
      <c r="F24" s="150"/>
      <c r="G24" s="38">
        <f t="shared" si="0"/>
        <v>0</v>
      </c>
      <c r="H24" s="150"/>
      <c r="I24" s="150"/>
      <c r="J24" s="150"/>
      <c r="K24" s="150"/>
      <c r="L24" s="177">
        <f t="shared" si="1"/>
        <v>0</v>
      </c>
      <c r="M24" s="144"/>
      <c r="N24" s="41"/>
      <c r="O24" s="41"/>
      <c r="P24" s="41"/>
      <c r="Q24" s="159">
        <f t="shared" si="2"/>
        <v>0</v>
      </c>
      <c r="R24" s="39">
        <f t="shared" si="3"/>
        <v>0</v>
      </c>
      <c r="S24" s="41"/>
      <c r="T24" s="41"/>
      <c r="U24" s="41"/>
      <c r="V24" s="41"/>
      <c r="W24" s="159">
        <f t="shared" si="4"/>
        <v>0</v>
      </c>
      <c r="X24" s="41">
        <f t="shared" si="7"/>
        <v>0</v>
      </c>
      <c r="Y24" s="41">
        <f t="shared" si="5"/>
        <v>0</v>
      </c>
      <c r="Z24" s="41">
        <f t="shared" si="5"/>
        <v>0</v>
      </c>
      <c r="AA24" s="41">
        <f t="shared" si="5"/>
        <v>0</v>
      </c>
      <c r="AB24" s="38">
        <f t="shared" si="6"/>
        <v>0</v>
      </c>
      <c r="AC24" s="42"/>
    </row>
    <row r="25" spans="1:29" ht="16.5" thickBot="1">
      <c r="A25" s="47"/>
      <c r="B25" s="176" t="s">
        <v>32</v>
      </c>
      <c r="C25" s="146">
        <f>C17+C21+C22+C24+C20+C23</f>
        <v>4859949.67</v>
      </c>
      <c r="D25" s="146">
        <f>D17+D21+D22+D24+D20+D23</f>
        <v>10494998.88</v>
      </c>
      <c r="E25" s="146">
        <f>E17+E21+E22+E24+E20+E23</f>
        <v>0</v>
      </c>
      <c r="F25" s="146">
        <f>F17+F21+F22+F24+F20+F23</f>
        <v>4412618.83</v>
      </c>
      <c r="G25" s="146">
        <f>G17+G21+G22+G24+G20+G23</f>
        <v>19767567.380000003</v>
      </c>
      <c r="H25" s="146">
        <f>H17+H21+H22+H24+H20+H23</f>
        <v>0</v>
      </c>
      <c r="I25" s="146">
        <f>I17+I21+I22+I24+I20+I23</f>
        <v>8535752.62</v>
      </c>
      <c r="J25" s="146">
        <f>J17+J21+J22+J24+J20+J23</f>
        <v>0</v>
      </c>
      <c r="K25" s="146">
        <f>K17+K21+K22+K24+K20+K23</f>
        <v>4283021.72</v>
      </c>
      <c r="L25" s="146">
        <f>L17+L21+L22+L24+L20+L23</f>
        <v>12818774.339999998</v>
      </c>
      <c r="M25" s="146">
        <f>M17+M21+M22+M24+M20+M23</f>
        <v>0</v>
      </c>
      <c r="N25" s="160">
        <f>N17+N21+N22+N24+N20+N23</f>
        <v>0</v>
      </c>
      <c r="O25" s="146">
        <f>O17+O21+O22+O24+O20+O23</f>
        <v>0</v>
      </c>
      <c r="P25" s="160">
        <f>P17+P21+P22+P24+P20+P23</f>
        <v>0</v>
      </c>
      <c r="Q25" s="160">
        <f>Q17+Q21+Q22+Q24+Q20+Q23</f>
        <v>0</v>
      </c>
      <c r="R25" s="146">
        <f>R17+R21+R22+R24</f>
        <v>32586341.720000003</v>
      </c>
      <c r="S25" s="146">
        <f>S17+S21+S22+S24+S20+S23</f>
        <v>0</v>
      </c>
      <c r="T25" s="146">
        <f>T17+T21+T22+T24+T20+T23</f>
        <v>0</v>
      </c>
      <c r="U25" s="146">
        <f>U17+U21+U22+U24+U20+U23</f>
        <v>0</v>
      </c>
      <c r="V25" s="146">
        <f>V17+V21+V22+V24+V20+V23</f>
        <v>0</v>
      </c>
      <c r="W25" s="146">
        <f>W17+W21+W22+W24+W20+W23</f>
        <v>0</v>
      </c>
      <c r="X25" s="146">
        <f>X17+X21+X22+X24+X20+X23</f>
        <v>4859949.67</v>
      </c>
      <c r="Y25" s="146">
        <f>Y17+Y21+Y22+Y24+Y20+Y23</f>
        <v>19030751.499999996</v>
      </c>
      <c r="Z25" s="146">
        <f>Z17+Z21+Z22+Z24+Z20+Z23</f>
        <v>0</v>
      </c>
      <c r="AA25" s="146">
        <f>AA17+AA21+AA22+AA24+AA20+AA23</f>
        <v>8695640.55</v>
      </c>
      <c r="AB25" s="146">
        <f>AB17+AB21+AB22+AB24+AB20+AB23</f>
        <v>32586341.719999995</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76" t="s">
        <v>33</v>
      </c>
      <c r="H28" s="62"/>
      <c r="I28" s="62"/>
      <c r="J28" s="62"/>
      <c r="K28" s="62"/>
      <c r="L28" s="63"/>
      <c r="M28" s="63"/>
      <c r="N28" s="63"/>
      <c r="O28" s="63"/>
      <c r="P28" s="63"/>
      <c r="Q28" s="63"/>
      <c r="R28" s="63"/>
      <c r="S28" s="64"/>
      <c r="AC28" s="65"/>
    </row>
    <row r="29" spans="1:29" ht="26.25">
      <c r="A29" s="176"/>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170">
        <f>SUM(D31:D36)</f>
        <v>543904478.99</v>
      </c>
      <c r="E30" s="170">
        <f>SUM(E31:E36)</f>
        <v>138778992.48</v>
      </c>
      <c r="F30" s="62"/>
      <c r="G30" s="170">
        <f>SUM(G31:G36)</f>
        <v>682683471.47</v>
      </c>
      <c r="H30" s="62"/>
      <c r="I30" s="254" t="s">
        <v>52</v>
      </c>
      <c r="J30" s="67" t="s">
        <v>38</v>
      </c>
      <c r="K30" s="62"/>
      <c r="L30" s="170">
        <f>'101 JUNE'!P30</f>
        <v>534457694</v>
      </c>
      <c r="M30" s="68"/>
      <c r="N30" s="68">
        <f>N34+N42</f>
        <v>137151000</v>
      </c>
      <c r="O30" s="68"/>
      <c r="P30" s="170">
        <f>L30+N30</f>
        <v>671608694</v>
      </c>
      <c r="AB30" s="64"/>
      <c r="AC30" s="65"/>
    </row>
    <row r="31" spans="1:29" ht="15.75">
      <c r="A31" s="69"/>
      <c r="B31" s="66" t="s">
        <v>39</v>
      </c>
      <c r="C31" s="68"/>
      <c r="D31" s="170">
        <f>'101 JUNE'!G31</f>
        <v>524425694</v>
      </c>
      <c r="E31" s="170">
        <v>137151000</v>
      </c>
      <c r="F31" s="62"/>
      <c r="G31" s="179">
        <f>C31+E31+D31</f>
        <v>661576694</v>
      </c>
      <c r="H31" s="62"/>
      <c r="I31" s="254"/>
      <c r="J31" s="64" t="s">
        <v>40</v>
      </c>
      <c r="K31" s="62"/>
      <c r="L31" s="172">
        <f>'101 JUNE'!P31</f>
        <v>543079140.27</v>
      </c>
      <c r="M31" s="70"/>
      <c r="N31" s="70">
        <f>+N35+N39+N43</f>
        <v>32586341.72</v>
      </c>
      <c r="O31" s="70"/>
      <c r="P31" s="171">
        <f>L31+N31</f>
        <v>575665481.99</v>
      </c>
      <c r="AB31" s="64"/>
      <c r="AC31" s="65"/>
    </row>
    <row r="32" spans="1:29" ht="16.5" thickBot="1">
      <c r="A32" s="69"/>
      <c r="B32" s="66" t="s">
        <v>67</v>
      </c>
      <c r="C32" s="62"/>
      <c r="D32" s="170"/>
      <c r="E32" s="170"/>
      <c r="F32" s="62"/>
      <c r="G32" s="63">
        <f aca="true" t="shared" si="8" ref="G32:G38">C32+E32+D32</f>
        <v>0</v>
      </c>
      <c r="H32" s="62"/>
      <c r="I32" s="254"/>
      <c r="J32" s="64" t="s">
        <v>41</v>
      </c>
      <c r="K32" s="62"/>
      <c r="L32" s="168">
        <f>L30-L31</f>
        <v>-8621446.26999998</v>
      </c>
      <c r="M32" s="70"/>
      <c r="N32" s="168">
        <f>N30-N31</f>
        <v>104564658.28</v>
      </c>
      <c r="O32" s="70"/>
      <c r="P32" s="169">
        <f>P30-P31</f>
        <v>95943212.00999999</v>
      </c>
      <c r="AB32" s="64"/>
      <c r="AC32" s="65"/>
    </row>
    <row r="33" spans="1:29" ht="16.5" thickTop="1">
      <c r="A33" s="69"/>
      <c r="B33" s="66" t="s">
        <v>42</v>
      </c>
      <c r="C33" s="62"/>
      <c r="D33" s="170">
        <f>'101 JUNE'!G33</f>
        <v>19478784.99</v>
      </c>
      <c r="E33" s="170">
        <f>+AB21</f>
        <v>1627992.48</v>
      </c>
      <c r="F33" s="62"/>
      <c r="G33" s="179">
        <f t="shared" si="8"/>
        <v>21106777.47</v>
      </c>
      <c r="H33" s="62"/>
      <c r="I33" s="76"/>
      <c r="J33" s="64"/>
      <c r="K33" s="62"/>
      <c r="L33" s="172"/>
      <c r="M33" s="64"/>
      <c r="N33" s="64"/>
      <c r="O33" s="64"/>
      <c r="P33" s="172"/>
      <c r="R33" s="140" t="s">
        <v>58</v>
      </c>
      <c r="X33" s="140" t="s">
        <v>60</v>
      </c>
      <c r="AB33" s="64"/>
      <c r="AC33" s="65"/>
    </row>
    <row r="34" spans="1:29" ht="15" customHeight="1">
      <c r="A34" s="69"/>
      <c r="B34" s="66" t="s">
        <v>43</v>
      </c>
      <c r="C34" s="62"/>
      <c r="D34" s="62"/>
      <c r="E34" s="170"/>
      <c r="F34" s="62"/>
      <c r="G34" s="63">
        <f t="shared" si="8"/>
        <v>0</v>
      </c>
      <c r="H34" s="62"/>
      <c r="I34" s="254" t="s">
        <v>53</v>
      </c>
      <c r="J34" s="67" t="s">
        <v>38</v>
      </c>
      <c r="K34" s="62"/>
      <c r="L34" s="170">
        <f>'101 JUNE'!P34</f>
        <v>511827694</v>
      </c>
      <c r="M34" s="68"/>
      <c r="N34" s="68">
        <f>E31</f>
        <v>137151000</v>
      </c>
      <c r="O34" s="68"/>
      <c r="P34" s="170">
        <f>L34+N34</f>
        <v>648978694</v>
      </c>
      <c r="AB34" s="64"/>
      <c r="AC34" s="65"/>
    </row>
    <row r="35" spans="1:29" ht="15.75">
      <c r="A35" s="69"/>
      <c r="B35" s="66" t="s">
        <v>44</v>
      </c>
      <c r="C35" s="62"/>
      <c r="D35" s="62"/>
      <c r="E35" s="62"/>
      <c r="F35" s="62"/>
      <c r="G35" s="63">
        <f t="shared" si="8"/>
        <v>0</v>
      </c>
      <c r="H35" s="62"/>
      <c r="I35" s="254"/>
      <c r="J35" s="64" t="s">
        <v>40</v>
      </c>
      <c r="K35" s="62"/>
      <c r="L35" s="172">
        <f>'101 JUNE'!P35</f>
        <v>230260134.01999998</v>
      </c>
      <c r="M35" s="70"/>
      <c r="N35" s="70">
        <f>+G25</f>
        <v>19767567.380000003</v>
      </c>
      <c r="O35" s="70"/>
      <c r="P35" s="171">
        <f>L35+N35</f>
        <v>250027701.39999998</v>
      </c>
      <c r="AB35" s="64"/>
      <c r="AC35" s="65"/>
    </row>
    <row r="36" spans="1:29" ht="16.5" thickBot="1">
      <c r="A36" s="69"/>
      <c r="B36" s="66" t="s">
        <v>45</v>
      </c>
      <c r="C36" s="62"/>
      <c r="D36" s="62"/>
      <c r="E36" s="62"/>
      <c r="F36" s="62"/>
      <c r="G36" s="63">
        <f t="shared" si="8"/>
        <v>0</v>
      </c>
      <c r="H36" s="62"/>
      <c r="I36" s="254"/>
      <c r="J36" s="64" t="s">
        <v>41</v>
      </c>
      <c r="K36" s="62"/>
      <c r="L36" s="168">
        <f>L34-L35</f>
        <v>281567559.98</v>
      </c>
      <c r="M36" s="70"/>
      <c r="N36" s="72">
        <f>N34-N35</f>
        <v>117383432.62</v>
      </c>
      <c r="O36" s="70"/>
      <c r="P36" s="169">
        <f>P34-P35</f>
        <v>398950992.6</v>
      </c>
      <c r="AB36" s="64"/>
      <c r="AC36" s="65"/>
    </row>
    <row r="37" spans="1:29" ht="16.5" thickTop="1">
      <c r="A37" s="74" t="s">
        <v>46</v>
      </c>
      <c r="B37" s="66"/>
      <c r="C37" s="62"/>
      <c r="D37" s="62"/>
      <c r="E37" s="62"/>
      <c r="F37" s="62"/>
      <c r="G37" s="63">
        <f t="shared" si="8"/>
        <v>0</v>
      </c>
      <c r="H37" s="62"/>
      <c r="I37" s="76"/>
      <c r="J37" s="64"/>
      <c r="K37" s="62"/>
      <c r="L37" s="172"/>
      <c r="M37" s="64"/>
      <c r="N37" s="64"/>
      <c r="O37" s="64"/>
      <c r="P37" s="172"/>
      <c r="R37" s="140" t="s">
        <v>81</v>
      </c>
      <c r="X37" s="259" t="s">
        <v>90</v>
      </c>
      <c r="Y37" s="259"/>
      <c r="AB37" s="64"/>
      <c r="AC37" s="65"/>
    </row>
    <row r="38" spans="1:29" ht="15" customHeight="1">
      <c r="A38" s="74" t="s">
        <v>47</v>
      </c>
      <c r="B38" s="66"/>
      <c r="C38" s="62"/>
      <c r="D38" s="62"/>
      <c r="E38" s="62"/>
      <c r="F38" s="62"/>
      <c r="G38" s="63">
        <f t="shared" si="8"/>
        <v>0</v>
      </c>
      <c r="H38" s="62"/>
      <c r="I38" s="254" t="s">
        <v>54</v>
      </c>
      <c r="J38" s="67" t="s">
        <v>38</v>
      </c>
      <c r="K38" s="62"/>
      <c r="L38" s="170"/>
      <c r="M38" s="68"/>
      <c r="N38" s="68"/>
      <c r="O38" s="68"/>
      <c r="P38" s="170">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f>+O25</f>
        <v>0</v>
      </c>
      <c r="M39" s="70"/>
      <c r="N39" s="70">
        <f>+Q25</f>
        <v>0</v>
      </c>
      <c r="O39" s="70"/>
      <c r="P39" s="70">
        <f>+S25</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2">
        <f>P38-P39</f>
        <v>0</v>
      </c>
      <c r="AB40" s="64"/>
      <c r="AC40" s="65"/>
    </row>
    <row r="41" spans="1:29" ht="16.5" thickTop="1">
      <c r="A41" s="66" t="s">
        <v>48</v>
      </c>
      <c r="B41" s="66"/>
      <c r="C41" s="62">
        <f>C30-C37+C38-C39+C40</f>
        <v>0</v>
      </c>
      <c r="D41" s="170">
        <f>D30-D37+D38-D39+D40</f>
        <v>543904478.99</v>
      </c>
      <c r="E41" s="170">
        <f>E30-E37+E38-E39+E40</f>
        <v>138778992.48</v>
      </c>
      <c r="F41" s="62"/>
      <c r="G41" s="170">
        <f>G30-G37+G38-G39+G40</f>
        <v>682683471.47</v>
      </c>
      <c r="H41" s="62"/>
      <c r="I41" s="76"/>
      <c r="J41" s="64"/>
      <c r="K41" s="62"/>
      <c r="L41" s="172"/>
      <c r="M41" s="64"/>
      <c r="N41" s="64"/>
      <c r="O41" s="64"/>
      <c r="P41" s="172"/>
      <c r="AB41" s="64"/>
      <c r="AC41" s="65"/>
    </row>
    <row r="42" spans="1:29" ht="15" customHeight="1">
      <c r="A42" s="74" t="s">
        <v>51</v>
      </c>
      <c r="B42" s="66"/>
      <c r="C42" s="62"/>
      <c r="D42" s="170">
        <f>'101 JUNE'!G42</f>
        <v>825338.72</v>
      </c>
      <c r="E42" s="170"/>
      <c r="F42" s="62"/>
      <c r="G42" s="179">
        <f>C42+E42+D42</f>
        <v>825338.72</v>
      </c>
      <c r="H42" s="62"/>
      <c r="I42" s="254" t="s">
        <v>55</v>
      </c>
      <c r="J42" s="67" t="s">
        <v>38</v>
      </c>
      <c r="K42" s="62"/>
      <c r="L42" s="170">
        <f>'101 JUNE'!P42</f>
        <v>22630000</v>
      </c>
      <c r="M42" s="68"/>
      <c r="N42" s="68">
        <v>0</v>
      </c>
      <c r="O42" s="68"/>
      <c r="P42" s="170">
        <f>L42+N42</f>
        <v>22630000</v>
      </c>
      <c r="AB42" s="64"/>
      <c r="AC42" s="65"/>
    </row>
    <row r="43" spans="1:29" ht="15.75">
      <c r="A43" s="69"/>
      <c r="B43" s="66" t="s">
        <v>49</v>
      </c>
      <c r="C43" s="62"/>
      <c r="D43" s="170">
        <f>'101 JUNE'!G43</f>
        <v>543079140.27</v>
      </c>
      <c r="E43" s="170">
        <f>AB25</f>
        <v>32586341.719999995</v>
      </c>
      <c r="F43" s="62"/>
      <c r="G43" s="179">
        <f>C43+E43+D43</f>
        <v>575665481.99</v>
      </c>
      <c r="H43" s="62"/>
      <c r="I43" s="254"/>
      <c r="J43" s="64" t="s">
        <v>40</v>
      </c>
      <c r="K43" s="62"/>
      <c r="L43" s="172">
        <f>'101 JUNE'!P43</f>
        <v>312819006.25</v>
      </c>
      <c r="M43" s="70"/>
      <c r="N43" s="70">
        <f>+L25</f>
        <v>12818774.339999998</v>
      </c>
      <c r="O43" s="70"/>
      <c r="P43" s="171">
        <f>L43+N43</f>
        <v>325637780.59</v>
      </c>
      <c r="AB43" s="64"/>
      <c r="AC43" s="65"/>
    </row>
    <row r="44" spans="1:29" ht="16.5" thickBot="1">
      <c r="A44" s="74" t="s">
        <v>50</v>
      </c>
      <c r="B44" s="49"/>
      <c r="C44" s="75">
        <f>C41-C42-C43</f>
        <v>0</v>
      </c>
      <c r="D44" s="75">
        <f>D41-D42-D43</f>
        <v>0</v>
      </c>
      <c r="E44" s="178">
        <f>E41-E42-E43</f>
        <v>106192650.75999999</v>
      </c>
      <c r="F44" s="62"/>
      <c r="G44" s="75">
        <f>G41-G42-G43</f>
        <v>106192650.75999999</v>
      </c>
      <c r="H44" s="62"/>
      <c r="I44" s="254"/>
      <c r="J44" s="64" t="s">
        <v>41</v>
      </c>
      <c r="K44" s="62"/>
      <c r="L44" s="168">
        <f>L42-L43</f>
        <v>-290189006.25</v>
      </c>
      <c r="M44" s="70"/>
      <c r="N44" s="168">
        <f>N42-N43</f>
        <v>-12818774.339999998</v>
      </c>
      <c r="O44" s="70"/>
      <c r="P44" s="169">
        <f>P42-P43</f>
        <v>-303007780.59</v>
      </c>
      <c r="AB44" s="64"/>
      <c r="AC44" s="65"/>
    </row>
    <row r="45" spans="1:7" ht="16.5" thickTop="1">
      <c r="A45" s="69"/>
      <c r="B45" s="49"/>
      <c r="C45" s="62"/>
      <c r="D45" s="62"/>
      <c r="E45" s="62"/>
      <c r="F45" s="62"/>
      <c r="G45" s="63"/>
    </row>
    <row r="46" spans="1:7" ht="15.75">
      <c r="A46" s="69"/>
      <c r="B46" s="176"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sheetData>
  <sheetProtection/>
  <mergeCells count="29">
    <mergeCell ref="AB1:AC1"/>
    <mergeCell ref="A2:AC2"/>
    <mergeCell ref="A3:AC3"/>
    <mergeCell ref="A4:AC4"/>
    <mergeCell ref="A12:B14"/>
    <mergeCell ref="C12:G13"/>
    <mergeCell ref="H12:Q12"/>
    <mergeCell ref="R12:R14"/>
    <mergeCell ref="S12:W13"/>
    <mergeCell ref="X12:AB13"/>
    <mergeCell ref="AC12:AC14"/>
    <mergeCell ref="H13:L13"/>
    <mergeCell ref="M13:Q13"/>
    <mergeCell ref="A15:B15"/>
    <mergeCell ref="C15:G15"/>
    <mergeCell ref="H15:L15"/>
    <mergeCell ref="M15:Q15"/>
    <mergeCell ref="S15:W15"/>
    <mergeCell ref="X15:AB15"/>
    <mergeCell ref="I38:I40"/>
    <mergeCell ref="R38:S38"/>
    <mergeCell ref="X38:Y38"/>
    <mergeCell ref="I42:I44"/>
    <mergeCell ref="X37:Y37"/>
    <mergeCell ref="A16:B16"/>
    <mergeCell ref="A17:B17"/>
    <mergeCell ref="A18:B18"/>
    <mergeCell ref="I30:I32"/>
    <mergeCell ref="I34:I36"/>
  </mergeCells>
  <printOptions horizontalCentered="1"/>
  <pageMargins left="0.79" right="0.79" top="0.75" bottom="0.75" header="0.3" footer="0.3"/>
  <pageSetup horizontalDpi="600" verticalDpi="600" orientation="landscape" paperSize="3" scale="60" r:id="rId1"/>
</worksheet>
</file>

<file path=xl/worksheets/sheet8.xml><?xml version="1.0" encoding="utf-8"?>
<worksheet xmlns="http://schemas.openxmlformats.org/spreadsheetml/2006/main" xmlns:r="http://schemas.openxmlformats.org/officeDocument/2006/relationships">
  <dimension ref="A1:AE54"/>
  <sheetViews>
    <sheetView view="pageBreakPreview" zoomScale="85" zoomScaleNormal="115" zoomScaleSheetLayoutView="85" zoomScalePageLayoutView="0" workbookViewId="0" topLeftCell="A7">
      <selection activeCell="A38" sqref="A38"/>
    </sheetView>
  </sheetViews>
  <sheetFormatPr defaultColWidth="11.00390625" defaultRowHeight="15.75"/>
  <cols>
    <col min="1" max="1" width="2.875" style="60" customWidth="1"/>
    <col min="2" max="2" width="27.00390625" style="60" customWidth="1"/>
    <col min="3" max="3" width="12.125" style="61" customWidth="1"/>
    <col min="4" max="4" width="13.375" style="61" customWidth="1"/>
    <col min="5" max="5" width="13.25390625" style="61" customWidth="1"/>
    <col min="6" max="6" width="12.375" style="61" customWidth="1"/>
    <col min="7" max="7" width="13.75390625" style="61" customWidth="1"/>
    <col min="8" max="8" width="11.625" style="61" customWidth="1"/>
    <col min="9" max="9" width="12.625" style="61" customWidth="1"/>
    <col min="10" max="10" width="10.625" style="61" customWidth="1"/>
    <col min="11" max="11" width="13.00390625" style="61" customWidth="1"/>
    <col min="12" max="12" width="13.50390625" style="61" customWidth="1"/>
    <col min="13" max="13" width="4.125" style="61" customWidth="1"/>
    <col min="14" max="14" width="13.125" style="61" customWidth="1"/>
    <col min="15" max="15" width="4.25390625" style="61" customWidth="1"/>
    <col min="16" max="16" width="14.25390625" style="61" customWidth="1"/>
    <col min="17" max="17" width="8.75390625" style="61" customWidth="1"/>
    <col min="18" max="18" width="13.375" style="61" customWidth="1"/>
    <col min="19" max="19" width="5.375" style="61" customWidth="1"/>
    <col min="20" max="20" width="6.50390625" style="61" customWidth="1"/>
    <col min="21" max="21" width="4.75390625" style="61" customWidth="1"/>
    <col min="22" max="22" width="5.75390625" style="61" customWidth="1"/>
    <col min="23" max="23" width="6.75390625" style="61" customWidth="1"/>
    <col min="24" max="24" width="11.125" style="61" customWidth="1"/>
    <col min="25" max="25" width="12.125" style="61" customWidth="1"/>
    <col min="26" max="26" width="8.50390625" style="61" customWidth="1"/>
    <col min="27" max="27" width="11.50390625" style="61" customWidth="1"/>
    <col min="28" max="28" width="12.625" style="61" customWidth="1"/>
    <col min="29" max="29" width="2.375" style="60" customWidth="1"/>
    <col min="30" max="30" width="11.00390625" style="121" customWidth="1"/>
    <col min="31" max="31" width="12.375" style="121" bestFit="1" customWidth="1"/>
    <col min="32" max="16384" width="11.00390625" style="121" customWidth="1"/>
  </cols>
  <sheetData>
    <row r="1" spans="1:29" ht="15.75">
      <c r="A1" s="119"/>
      <c r="B1" s="120"/>
      <c r="AB1" s="270" t="s">
        <v>92</v>
      </c>
      <c r="AC1" s="27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91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37">
        <f>C18+C19</f>
        <v>6936813.05</v>
      </c>
      <c r="D17" s="143">
        <f>D18+D19</f>
        <v>90779451.21000001</v>
      </c>
      <c r="E17" s="37">
        <f>E18+E19</f>
        <v>0</v>
      </c>
      <c r="F17" s="37">
        <f>F18+F19</f>
        <v>31817750.93</v>
      </c>
      <c r="G17" s="38">
        <f>SUM(C17:F17)</f>
        <v>129534015.19</v>
      </c>
      <c r="H17" s="37">
        <f>H18+H19</f>
        <v>173713.95</v>
      </c>
      <c r="I17" s="37">
        <f>I18+I19</f>
        <v>82277203.49999999</v>
      </c>
      <c r="J17" s="37">
        <f>J18+J19</f>
        <v>0</v>
      </c>
      <c r="K17" s="37">
        <f>K18+K19</f>
        <v>38317058.42</v>
      </c>
      <c r="L17" s="38">
        <f>SUM(H17:K17)</f>
        <v>120767975.86999999</v>
      </c>
      <c r="M17" s="143">
        <f>M18+M19</f>
        <v>0</v>
      </c>
      <c r="N17" s="157">
        <f>N18+N19</f>
        <v>0</v>
      </c>
      <c r="O17" s="37">
        <f>O18+O19</f>
        <v>0</v>
      </c>
      <c r="P17" s="157">
        <f>P18+P19</f>
        <v>0</v>
      </c>
      <c r="Q17" s="159">
        <f>SUM(M17:P17)</f>
        <v>0</v>
      </c>
      <c r="R17" s="39">
        <f>G17+L17+Q17</f>
        <v>250301991.06</v>
      </c>
      <c r="S17" s="37">
        <f>S18+S19</f>
        <v>0</v>
      </c>
      <c r="T17" s="37">
        <f>T18+T19</f>
        <v>0</v>
      </c>
      <c r="U17" s="37">
        <f>U18+U19</f>
        <v>0</v>
      </c>
      <c r="V17" s="37">
        <f>V18+V19</f>
        <v>0</v>
      </c>
      <c r="W17" s="38">
        <f>SUM(S17:V17)</f>
        <v>0</v>
      </c>
      <c r="X17" s="37">
        <f>X18+X19</f>
        <v>7110527</v>
      </c>
      <c r="Y17" s="37">
        <f>Y18+Y19</f>
        <v>173056654.71</v>
      </c>
      <c r="Z17" s="37">
        <f>Z18+Z19</f>
        <v>0</v>
      </c>
      <c r="AA17" s="37">
        <f>AA18+AA19</f>
        <v>70134809.35000001</v>
      </c>
      <c r="AB17" s="38">
        <f>SUM(X17:AA17)</f>
        <v>250301991.06</v>
      </c>
      <c r="AC17" s="40"/>
    </row>
    <row r="18" spans="1:31" ht="15.75">
      <c r="A18" s="252" t="s">
        <v>25</v>
      </c>
      <c r="B18" s="253"/>
      <c r="C18" s="148">
        <v>6605260.56</v>
      </c>
      <c r="D18" s="149">
        <f>85517402.2-8390.63</f>
        <v>85509011.57000001</v>
      </c>
      <c r="E18" s="150"/>
      <c r="F18" s="150">
        <v>31754340.21</v>
      </c>
      <c r="G18" s="38">
        <f aca="true" t="shared" si="0" ref="G18:G24">SUM(C18:F18)</f>
        <v>123868612.34</v>
      </c>
      <c r="H18" s="155">
        <v>173713.95</v>
      </c>
      <c r="I18" s="154">
        <f>79395105.99-47387.62</f>
        <v>79347718.36999999</v>
      </c>
      <c r="J18" s="150"/>
      <c r="K18" s="150">
        <v>35952947.25</v>
      </c>
      <c r="L18" s="38">
        <f aca="true" t="shared" si="1" ref="L18:L24">SUM(H18:K18)</f>
        <v>115474379.57</v>
      </c>
      <c r="M18" s="144"/>
      <c r="N18" s="41"/>
      <c r="O18" s="41"/>
      <c r="P18" s="41"/>
      <c r="Q18" s="159">
        <f aca="true" t="shared" si="2" ref="Q18:Q24">SUM(M18:P18)</f>
        <v>0</v>
      </c>
      <c r="R18" s="39">
        <f aca="true" t="shared" si="3" ref="R18:R24">G18+L18+Q18</f>
        <v>239342991.91</v>
      </c>
      <c r="S18" s="41"/>
      <c r="T18" s="41"/>
      <c r="U18" s="41"/>
      <c r="V18" s="41"/>
      <c r="W18" s="159">
        <f aca="true" t="shared" si="4" ref="W18:W24">SUM(S18:V18)</f>
        <v>0</v>
      </c>
      <c r="X18" s="41">
        <f>C18+H18+M18+S18</f>
        <v>6778974.51</v>
      </c>
      <c r="Y18" s="41">
        <f aca="true" t="shared" si="5" ref="Y18:AA24">D18+I18+N18+T18</f>
        <v>164856729.94</v>
      </c>
      <c r="Z18" s="41">
        <f t="shared" si="5"/>
        <v>0</v>
      </c>
      <c r="AA18" s="41">
        <f t="shared" si="5"/>
        <v>67707287.46000001</v>
      </c>
      <c r="AB18" s="38">
        <f aca="true" t="shared" si="6" ref="AB18:AB24">SUM(X18:AA18)</f>
        <v>239342991.91</v>
      </c>
      <c r="AC18" s="42"/>
      <c r="AE18" s="128"/>
    </row>
    <row r="19" spans="1:29" ht="15.75">
      <c r="A19" s="165" t="s">
        <v>26</v>
      </c>
      <c r="B19" s="166"/>
      <c r="C19" s="150">
        <v>331552.49</v>
      </c>
      <c r="D19" s="151">
        <f>5270439.64</f>
        <v>5270439.64</v>
      </c>
      <c r="E19" s="150"/>
      <c r="F19" s="150">
        <v>63410.72</v>
      </c>
      <c r="G19" s="38">
        <f t="shared" si="0"/>
        <v>5665402.85</v>
      </c>
      <c r="H19" s="150"/>
      <c r="I19" s="151">
        <f>2929485.13</f>
        <v>2929485.13</v>
      </c>
      <c r="J19" s="150"/>
      <c r="K19" s="150">
        <v>2364111.17</v>
      </c>
      <c r="L19" s="38">
        <f t="shared" si="1"/>
        <v>5293596.3</v>
      </c>
      <c r="M19" s="144"/>
      <c r="N19" s="41"/>
      <c r="O19" s="41"/>
      <c r="P19" s="41"/>
      <c r="Q19" s="159">
        <f t="shared" si="2"/>
        <v>0</v>
      </c>
      <c r="R19" s="39">
        <f t="shared" si="3"/>
        <v>10958999.149999999</v>
      </c>
      <c r="S19" s="41"/>
      <c r="T19" s="41"/>
      <c r="U19" s="41"/>
      <c r="V19" s="41"/>
      <c r="W19" s="159">
        <f t="shared" si="4"/>
        <v>0</v>
      </c>
      <c r="X19" s="41">
        <f aca="true" t="shared" si="7" ref="X19:X24">C19+H19+M19+S19</f>
        <v>331552.49</v>
      </c>
      <c r="Y19" s="41">
        <f t="shared" si="5"/>
        <v>8199924.77</v>
      </c>
      <c r="Z19" s="41">
        <f t="shared" si="5"/>
        <v>0</v>
      </c>
      <c r="AA19" s="41">
        <f t="shared" si="5"/>
        <v>2427521.89</v>
      </c>
      <c r="AB19" s="38">
        <f t="shared" si="6"/>
        <v>10958999.15</v>
      </c>
      <c r="AC19" s="42"/>
    </row>
    <row r="20" spans="1:29" ht="15.75">
      <c r="A20" s="164" t="s">
        <v>27</v>
      </c>
      <c r="B20" s="166"/>
      <c r="C20" s="150"/>
      <c r="D20" s="152"/>
      <c r="E20" s="150"/>
      <c r="F20" s="150"/>
      <c r="G20" s="38">
        <f t="shared" si="0"/>
        <v>0</v>
      </c>
      <c r="H20" s="150"/>
      <c r="I20" s="150"/>
      <c r="J20" s="150"/>
      <c r="K20" s="150"/>
      <c r="L20" s="38">
        <f t="shared" si="1"/>
        <v>0</v>
      </c>
      <c r="M20" s="144"/>
      <c r="N20" s="41"/>
      <c r="O20" s="41"/>
      <c r="P20" s="41"/>
      <c r="Q20" s="159">
        <f t="shared" si="2"/>
        <v>0</v>
      </c>
      <c r="R20" s="39">
        <f t="shared" si="3"/>
        <v>0</v>
      </c>
      <c r="S20" s="41"/>
      <c r="T20" s="41"/>
      <c r="U20" s="41"/>
      <c r="V20" s="41"/>
      <c r="W20" s="159">
        <f t="shared" si="4"/>
        <v>0</v>
      </c>
      <c r="X20" s="41">
        <f t="shared" si="7"/>
        <v>0</v>
      </c>
      <c r="Y20" s="41">
        <f t="shared" si="5"/>
        <v>0</v>
      </c>
      <c r="Z20" s="41">
        <f t="shared" si="5"/>
        <v>0</v>
      </c>
      <c r="AA20" s="41">
        <f t="shared" si="5"/>
        <v>0</v>
      </c>
      <c r="AB20" s="38">
        <f t="shared" si="6"/>
        <v>0</v>
      </c>
      <c r="AC20" s="42"/>
    </row>
    <row r="21" spans="1:31" ht="15.75">
      <c r="A21" s="164" t="s">
        <v>28</v>
      </c>
      <c r="B21" s="167"/>
      <c r="C21" s="148">
        <v>804664.06</v>
      </c>
      <c r="D21" s="155">
        <v>773106.46</v>
      </c>
      <c r="E21" s="148"/>
      <c r="F21" s="155">
        <v>2152671.87</v>
      </c>
      <c r="G21" s="38">
        <f t="shared" si="0"/>
        <v>3730442.39</v>
      </c>
      <c r="H21" s="150"/>
      <c r="I21" s="155">
        <v>3393335.26</v>
      </c>
      <c r="J21" s="148"/>
      <c r="K21" s="155">
        <v>971280.23</v>
      </c>
      <c r="L21" s="38">
        <f t="shared" si="1"/>
        <v>4364615.49</v>
      </c>
      <c r="M21" s="147"/>
      <c r="N21" s="87"/>
      <c r="O21" s="41"/>
      <c r="P21" s="41"/>
      <c r="Q21" s="159">
        <f t="shared" si="2"/>
        <v>0</v>
      </c>
      <c r="R21" s="39">
        <f t="shared" si="3"/>
        <v>8095057.880000001</v>
      </c>
      <c r="S21" s="41"/>
      <c r="T21" s="41"/>
      <c r="U21" s="41"/>
      <c r="V21" s="41"/>
      <c r="W21" s="159">
        <f t="shared" si="4"/>
        <v>0</v>
      </c>
      <c r="X21" s="41">
        <f t="shared" si="7"/>
        <v>804664.06</v>
      </c>
      <c r="Y21" s="41">
        <f t="shared" si="5"/>
        <v>4166441.7199999997</v>
      </c>
      <c r="Z21" s="41">
        <f>E21+J21+O21+U21</f>
        <v>0</v>
      </c>
      <c r="AA21" s="41">
        <f t="shared" si="5"/>
        <v>3123952.1</v>
      </c>
      <c r="AB21" s="38">
        <f t="shared" si="6"/>
        <v>8095057.879999999</v>
      </c>
      <c r="AC21" s="42"/>
      <c r="AE21" s="128"/>
    </row>
    <row r="22" spans="1:29" ht="15.75">
      <c r="A22" s="164" t="s">
        <v>29</v>
      </c>
      <c r="B22" s="167"/>
      <c r="C22" s="150"/>
      <c r="D22" s="152"/>
      <c r="E22" s="150"/>
      <c r="F22" s="150"/>
      <c r="G22" s="38">
        <f t="shared" si="0"/>
        <v>0</v>
      </c>
      <c r="H22" s="150"/>
      <c r="I22" s="150"/>
      <c r="J22" s="150"/>
      <c r="K22" s="150"/>
      <c r="L22" s="38">
        <f t="shared" si="1"/>
        <v>0</v>
      </c>
      <c r="M22" s="144"/>
      <c r="N22" s="41"/>
      <c r="O22" s="41"/>
      <c r="P22" s="41"/>
      <c r="Q22" s="159">
        <f t="shared" si="2"/>
        <v>0</v>
      </c>
      <c r="R22" s="39">
        <f t="shared" si="3"/>
        <v>0</v>
      </c>
      <c r="S22" s="41"/>
      <c r="T22" s="41"/>
      <c r="U22" s="41"/>
      <c r="V22" s="41"/>
      <c r="W22" s="159">
        <f t="shared" si="4"/>
        <v>0</v>
      </c>
      <c r="X22" s="41">
        <f t="shared" si="7"/>
        <v>0</v>
      </c>
      <c r="Y22" s="41">
        <f t="shared" si="5"/>
        <v>0</v>
      </c>
      <c r="Z22" s="41">
        <f t="shared" si="5"/>
        <v>0</v>
      </c>
      <c r="AA22" s="41">
        <f t="shared" si="5"/>
        <v>0</v>
      </c>
      <c r="AB22" s="38">
        <f t="shared" si="6"/>
        <v>0</v>
      </c>
      <c r="AC22" s="42"/>
    </row>
    <row r="23" spans="1:29" ht="15.75">
      <c r="A23" s="164" t="s">
        <v>30</v>
      </c>
      <c r="B23" s="167"/>
      <c r="C23" s="150"/>
      <c r="D23" s="152"/>
      <c r="E23" s="150"/>
      <c r="F23" s="150"/>
      <c r="G23" s="38">
        <f t="shared" si="0"/>
        <v>0</v>
      </c>
      <c r="H23" s="150"/>
      <c r="I23" s="150"/>
      <c r="J23" s="150"/>
      <c r="K23" s="150"/>
      <c r="L23" s="38">
        <f t="shared" si="1"/>
        <v>0</v>
      </c>
      <c r="M23" s="144"/>
      <c r="N23" s="41"/>
      <c r="O23" s="41"/>
      <c r="P23" s="41"/>
      <c r="Q23" s="159">
        <f t="shared" si="2"/>
        <v>0</v>
      </c>
      <c r="R23" s="39">
        <f t="shared" si="3"/>
        <v>0</v>
      </c>
      <c r="S23" s="41"/>
      <c r="T23" s="41"/>
      <c r="U23" s="41"/>
      <c r="V23" s="41"/>
      <c r="W23" s="159">
        <f t="shared" si="4"/>
        <v>0</v>
      </c>
      <c r="X23" s="41">
        <f t="shared" si="7"/>
        <v>0</v>
      </c>
      <c r="Y23" s="41">
        <f t="shared" si="5"/>
        <v>0</v>
      </c>
      <c r="Z23" s="41">
        <f t="shared" si="5"/>
        <v>0</v>
      </c>
      <c r="AA23" s="41">
        <f t="shared" si="5"/>
        <v>0</v>
      </c>
      <c r="AB23" s="38">
        <f t="shared" si="6"/>
        <v>0</v>
      </c>
      <c r="AC23" s="42"/>
    </row>
    <row r="24" spans="1:29" ht="15.75">
      <c r="A24" s="164" t="s">
        <v>31</v>
      </c>
      <c r="B24" s="167"/>
      <c r="C24" s="153"/>
      <c r="D24" s="152"/>
      <c r="E24" s="150"/>
      <c r="F24" s="150"/>
      <c r="G24" s="38">
        <f t="shared" si="0"/>
        <v>0</v>
      </c>
      <c r="H24" s="150"/>
      <c r="I24" s="150"/>
      <c r="J24" s="150"/>
      <c r="K24" s="150"/>
      <c r="L24" s="177">
        <f t="shared" si="1"/>
        <v>0</v>
      </c>
      <c r="M24" s="144"/>
      <c r="N24" s="41"/>
      <c r="O24" s="41"/>
      <c r="P24" s="41"/>
      <c r="Q24" s="159">
        <f t="shared" si="2"/>
        <v>0</v>
      </c>
      <c r="R24" s="39">
        <f t="shared" si="3"/>
        <v>0</v>
      </c>
      <c r="S24" s="41"/>
      <c r="T24" s="41"/>
      <c r="U24" s="41"/>
      <c r="V24" s="41"/>
      <c r="W24" s="159">
        <f t="shared" si="4"/>
        <v>0</v>
      </c>
      <c r="X24" s="41">
        <f t="shared" si="7"/>
        <v>0</v>
      </c>
      <c r="Y24" s="41">
        <f t="shared" si="5"/>
        <v>0</v>
      </c>
      <c r="Z24" s="41">
        <f t="shared" si="5"/>
        <v>0</v>
      </c>
      <c r="AA24" s="41">
        <f t="shared" si="5"/>
        <v>0</v>
      </c>
      <c r="AB24" s="38">
        <f t="shared" si="6"/>
        <v>0</v>
      </c>
      <c r="AC24" s="42"/>
    </row>
    <row r="25" spans="1:29" ht="16.5" thickBot="1">
      <c r="A25" s="47"/>
      <c r="B25" s="167" t="s">
        <v>32</v>
      </c>
      <c r="C25" s="146">
        <f>C17+C21+C22+C24+C20+C23</f>
        <v>7741477.109999999</v>
      </c>
      <c r="D25" s="146">
        <f>D17+D21+D22+D24+D20+D23</f>
        <v>91552557.67</v>
      </c>
      <c r="E25" s="146">
        <f>E17+E21+E22+E24+E20+E23</f>
        <v>0</v>
      </c>
      <c r="F25" s="146">
        <f>F17+F21+F22+F24+F20+F23</f>
        <v>33970422.8</v>
      </c>
      <c r="G25" s="146">
        <f>G17+G21+G22+G24+G20+G23</f>
        <v>133264457.58</v>
      </c>
      <c r="H25" s="146">
        <f>H17+H21+H22+H24+H20+H23</f>
        <v>173713.95</v>
      </c>
      <c r="I25" s="146">
        <f>I17+I21+I22+I24+I20+I23</f>
        <v>85670538.75999999</v>
      </c>
      <c r="J25" s="146">
        <f>J17+J21+J22+J24+J20+J23</f>
        <v>0</v>
      </c>
      <c r="K25" s="146">
        <f>K17+K21+K22+K24+K20+K23</f>
        <v>39288338.65</v>
      </c>
      <c r="L25" s="146">
        <f>L17+L21+L22+L24+L20+L23</f>
        <v>125132591.35999998</v>
      </c>
      <c r="M25" s="146">
        <f>M17+M21+M22+M24+M20+M23</f>
        <v>0</v>
      </c>
      <c r="N25" s="160">
        <f>N17+N21+N22+N24+N20+N23</f>
        <v>0</v>
      </c>
      <c r="O25" s="146">
        <f>O17+O21+O22+O24+O20+O23</f>
        <v>0</v>
      </c>
      <c r="P25" s="160">
        <f>P17+P21+P22+P24+P20+P23</f>
        <v>0</v>
      </c>
      <c r="Q25" s="160">
        <f>Q17+Q21+Q22+Q24+Q20+Q23</f>
        <v>0</v>
      </c>
      <c r="R25" s="146">
        <f>R17+R21+R22+R24</f>
        <v>258397048.94</v>
      </c>
      <c r="S25" s="146">
        <f>S17+S21+S22+S24+S20+S23</f>
        <v>0</v>
      </c>
      <c r="T25" s="146">
        <f>T17+T21+T22+T24+T20+T23</f>
        <v>0</v>
      </c>
      <c r="U25" s="146">
        <f>U17+U21+U22+U24+U20+U23</f>
        <v>0</v>
      </c>
      <c r="V25" s="146">
        <f>V17+V21+V22+V24+V20+V23</f>
        <v>0</v>
      </c>
      <c r="W25" s="146">
        <f>W17+W21+W22+W24+W20+W23</f>
        <v>0</v>
      </c>
      <c r="X25" s="146">
        <f>X17+X21+X22+X24+X20+X23</f>
        <v>7915191.0600000005</v>
      </c>
      <c r="Y25" s="146">
        <f>Y17+Y21+Y22+Y24+Y20+Y23</f>
        <v>177223096.43</v>
      </c>
      <c r="Z25" s="146">
        <f>Z17+Z21+Z22+Z24+Z20+Z23</f>
        <v>0</v>
      </c>
      <c r="AA25" s="146">
        <f>AA17+AA21+AA22+AA24+AA20+AA23</f>
        <v>73258761.45</v>
      </c>
      <c r="AB25" s="146">
        <f>AB17+AB21+AB22+AB24+AB20+AB23</f>
        <v>258397048.94</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67" t="s">
        <v>33</v>
      </c>
      <c r="H28" s="62"/>
      <c r="I28" s="62"/>
      <c r="J28" s="62"/>
      <c r="K28" s="62"/>
      <c r="L28" s="63"/>
      <c r="M28" s="63"/>
      <c r="N28" s="63"/>
      <c r="O28" s="63"/>
      <c r="P28" s="63"/>
      <c r="Q28" s="63"/>
      <c r="R28" s="63"/>
      <c r="S28" s="64"/>
      <c r="AC28" s="65"/>
    </row>
    <row r="29" spans="1:29" ht="26.25">
      <c r="A29" s="167"/>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170">
        <f>SUM(D31:D36)</f>
        <v>285460421.11</v>
      </c>
      <c r="E30" s="170">
        <f>SUM(E31:E36)</f>
        <v>258444057.88</v>
      </c>
      <c r="F30" s="62"/>
      <c r="G30" s="170">
        <f>SUM(G31:G36)</f>
        <v>543904478.99</v>
      </c>
      <c r="H30" s="62"/>
      <c r="I30" s="254" t="s">
        <v>52</v>
      </c>
      <c r="J30" s="67" t="s">
        <v>38</v>
      </c>
      <c r="K30" s="62"/>
      <c r="L30" s="170">
        <f>'101 MAY'!P30</f>
        <v>284108694</v>
      </c>
      <c r="M30" s="68"/>
      <c r="N30" s="68">
        <f>N34+N42</f>
        <v>250349000</v>
      </c>
      <c r="O30" s="68"/>
      <c r="P30" s="170">
        <f>L30+N30</f>
        <v>534457694</v>
      </c>
      <c r="AB30" s="64"/>
      <c r="AC30" s="65"/>
    </row>
    <row r="31" spans="1:29" ht="15.75">
      <c r="A31" s="69"/>
      <c r="B31" s="66" t="s">
        <v>39</v>
      </c>
      <c r="C31" s="68"/>
      <c r="D31" s="170">
        <f>'101 MAY'!G31</f>
        <v>274076694</v>
      </c>
      <c r="E31" s="170">
        <v>250349000</v>
      </c>
      <c r="F31" s="62"/>
      <c r="G31" s="179">
        <f>C31+E31+D31</f>
        <v>524425694</v>
      </c>
      <c r="H31" s="62"/>
      <c r="I31" s="254"/>
      <c r="J31" s="64" t="s">
        <v>40</v>
      </c>
      <c r="K31" s="62"/>
      <c r="L31" s="172">
        <f>'101 MAY'!P31</f>
        <v>284682091.33</v>
      </c>
      <c r="M31" s="70"/>
      <c r="N31" s="70">
        <f>+N35+N39+N43</f>
        <v>258397048.94</v>
      </c>
      <c r="O31" s="70"/>
      <c r="P31" s="171">
        <f>L31+N31</f>
        <v>543079140.27</v>
      </c>
      <c r="AB31" s="64"/>
      <c r="AC31" s="65"/>
    </row>
    <row r="32" spans="1:29" ht="16.5" thickBot="1">
      <c r="A32" s="69"/>
      <c r="B32" s="66" t="s">
        <v>67</v>
      </c>
      <c r="C32" s="62"/>
      <c r="D32" s="170"/>
      <c r="E32" s="170"/>
      <c r="F32" s="62"/>
      <c r="G32" s="63">
        <f aca="true" t="shared" si="8" ref="G32:G38">C32+E32+D32</f>
        <v>0</v>
      </c>
      <c r="H32" s="62"/>
      <c r="I32" s="254"/>
      <c r="J32" s="64" t="s">
        <v>41</v>
      </c>
      <c r="K32" s="62"/>
      <c r="L32" s="168">
        <f>L30-L31</f>
        <v>-573397.3299999833</v>
      </c>
      <c r="M32" s="70"/>
      <c r="N32" s="168">
        <f>N30-N31</f>
        <v>-8048048.939999998</v>
      </c>
      <c r="O32" s="70"/>
      <c r="P32" s="169">
        <f>P30-P31</f>
        <v>-8621446.26999998</v>
      </c>
      <c r="AB32" s="64"/>
      <c r="AC32" s="65"/>
    </row>
    <row r="33" spans="1:29" ht="16.5" thickTop="1">
      <c r="A33" s="69"/>
      <c r="B33" s="66" t="s">
        <v>42</v>
      </c>
      <c r="C33" s="62"/>
      <c r="D33" s="170">
        <f>'101 MAY'!G33</f>
        <v>11383727.11</v>
      </c>
      <c r="E33" s="170">
        <f>+AB21</f>
        <v>8095057.879999999</v>
      </c>
      <c r="F33" s="62"/>
      <c r="G33" s="179">
        <f t="shared" si="8"/>
        <v>19478784.99</v>
      </c>
      <c r="H33" s="62"/>
      <c r="I33" s="76"/>
      <c r="J33" s="64"/>
      <c r="K33" s="62"/>
      <c r="L33" s="172"/>
      <c r="M33" s="64"/>
      <c r="N33" s="64"/>
      <c r="O33" s="64"/>
      <c r="P33" s="172"/>
      <c r="R33" s="140" t="s">
        <v>58</v>
      </c>
      <c r="X33" s="140" t="s">
        <v>60</v>
      </c>
      <c r="AB33" s="64"/>
      <c r="AC33" s="65"/>
    </row>
    <row r="34" spans="1:29" ht="15" customHeight="1">
      <c r="A34" s="69"/>
      <c r="B34" s="66" t="s">
        <v>43</v>
      </c>
      <c r="C34" s="62"/>
      <c r="D34" s="62"/>
      <c r="E34" s="170"/>
      <c r="F34" s="62"/>
      <c r="G34" s="63">
        <f t="shared" si="8"/>
        <v>0</v>
      </c>
      <c r="H34" s="62"/>
      <c r="I34" s="254" t="s">
        <v>53</v>
      </c>
      <c r="J34" s="67" t="s">
        <v>38</v>
      </c>
      <c r="K34" s="62"/>
      <c r="L34" s="170">
        <f>'101 MAY'!P34</f>
        <v>261478694</v>
      </c>
      <c r="M34" s="68"/>
      <c r="N34" s="68">
        <f>E31</f>
        <v>250349000</v>
      </c>
      <c r="O34" s="68"/>
      <c r="P34" s="170">
        <f>L34+N34</f>
        <v>511827694</v>
      </c>
      <c r="AB34" s="64"/>
      <c r="AC34" s="65"/>
    </row>
    <row r="35" spans="1:29" ht="15.75">
      <c r="A35" s="69"/>
      <c r="B35" s="66" t="s">
        <v>44</v>
      </c>
      <c r="C35" s="62"/>
      <c r="D35" s="62"/>
      <c r="E35" s="62"/>
      <c r="F35" s="62"/>
      <c r="G35" s="63">
        <f t="shared" si="8"/>
        <v>0</v>
      </c>
      <c r="H35" s="62"/>
      <c r="I35" s="254"/>
      <c r="J35" s="64" t="s">
        <v>40</v>
      </c>
      <c r="K35" s="62"/>
      <c r="L35" s="172">
        <f>'101 MAY'!P35</f>
        <v>96995676.44</v>
      </c>
      <c r="M35" s="70"/>
      <c r="N35" s="70">
        <f>+G25</f>
        <v>133264457.58</v>
      </c>
      <c r="O35" s="70"/>
      <c r="P35" s="171">
        <f>L35+N35</f>
        <v>230260134.01999998</v>
      </c>
      <c r="AB35" s="64"/>
      <c r="AC35" s="65"/>
    </row>
    <row r="36" spans="1:29" ht="16.5" thickBot="1">
      <c r="A36" s="69"/>
      <c r="B36" s="66" t="s">
        <v>45</v>
      </c>
      <c r="C36" s="62"/>
      <c r="D36" s="62"/>
      <c r="E36" s="62"/>
      <c r="F36" s="62"/>
      <c r="G36" s="63">
        <f t="shared" si="8"/>
        <v>0</v>
      </c>
      <c r="H36" s="62"/>
      <c r="I36" s="254"/>
      <c r="J36" s="64" t="s">
        <v>41</v>
      </c>
      <c r="K36" s="62"/>
      <c r="L36" s="168">
        <f>L34-L35</f>
        <v>164483017.56</v>
      </c>
      <c r="M36" s="70"/>
      <c r="N36" s="72">
        <f>N34-N35</f>
        <v>117084542.42</v>
      </c>
      <c r="O36" s="70"/>
      <c r="P36" s="169">
        <f>P34-P35</f>
        <v>281567559.98</v>
      </c>
      <c r="AB36" s="64"/>
      <c r="AC36" s="65"/>
    </row>
    <row r="37" spans="1:29" ht="16.5" thickTop="1">
      <c r="A37" s="74" t="s">
        <v>46</v>
      </c>
      <c r="B37" s="66"/>
      <c r="C37" s="62"/>
      <c r="D37" s="62"/>
      <c r="E37" s="62"/>
      <c r="F37" s="62"/>
      <c r="G37" s="63">
        <f t="shared" si="8"/>
        <v>0</v>
      </c>
      <c r="H37" s="62"/>
      <c r="I37" s="76"/>
      <c r="J37" s="64"/>
      <c r="K37" s="62"/>
      <c r="L37" s="172"/>
      <c r="M37" s="64"/>
      <c r="N37" s="64"/>
      <c r="O37" s="64"/>
      <c r="P37" s="172"/>
      <c r="R37" s="140" t="s">
        <v>81</v>
      </c>
      <c r="X37" s="259" t="s">
        <v>90</v>
      </c>
      <c r="Y37" s="259"/>
      <c r="AB37" s="64"/>
      <c r="AC37" s="65"/>
    </row>
    <row r="38" spans="1:29" ht="15" customHeight="1">
      <c r="A38" s="74" t="s">
        <v>47</v>
      </c>
      <c r="B38" s="66"/>
      <c r="C38" s="62"/>
      <c r="D38" s="62"/>
      <c r="E38" s="62"/>
      <c r="F38" s="62"/>
      <c r="G38" s="63">
        <f t="shared" si="8"/>
        <v>0</v>
      </c>
      <c r="H38" s="62"/>
      <c r="I38" s="254" t="s">
        <v>54</v>
      </c>
      <c r="J38" s="67" t="s">
        <v>38</v>
      </c>
      <c r="K38" s="62"/>
      <c r="L38" s="170"/>
      <c r="M38" s="68"/>
      <c r="N38" s="68"/>
      <c r="O38" s="68"/>
      <c r="P38" s="170">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f>+O25</f>
        <v>0</v>
      </c>
      <c r="M39" s="70"/>
      <c r="N39" s="70">
        <f>+Q25</f>
        <v>0</v>
      </c>
      <c r="O39" s="70"/>
      <c r="P39" s="70">
        <f>+S25</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2">
        <f>P38-P39</f>
        <v>0</v>
      </c>
      <c r="AB40" s="64"/>
      <c r="AC40" s="65"/>
    </row>
    <row r="41" spans="1:29" ht="16.5" thickTop="1">
      <c r="A41" s="66" t="s">
        <v>48</v>
      </c>
      <c r="B41" s="66"/>
      <c r="C41" s="62">
        <f>C30-C37+C38-C39+C40</f>
        <v>0</v>
      </c>
      <c r="D41" s="170">
        <f>D30-D37+D38-D39+D40</f>
        <v>285460421.11</v>
      </c>
      <c r="E41" s="170">
        <f>E30-E37+E38-E39+E40</f>
        <v>258444057.88</v>
      </c>
      <c r="F41" s="62"/>
      <c r="G41" s="170">
        <f>G30-G37+G38-G39+G40</f>
        <v>543904478.99</v>
      </c>
      <c r="H41" s="62"/>
      <c r="I41" s="76"/>
      <c r="J41" s="64"/>
      <c r="K41" s="62"/>
      <c r="L41" s="172"/>
      <c r="M41" s="64"/>
      <c r="N41" s="64"/>
      <c r="O41" s="64"/>
      <c r="P41" s="172"/>
      <c r="AB41" s="64"/>
      <c r="AC41" s="65"/>
    </row>
    <row r="42" spans="1:29" ht="15" customHeight="1">
      <c r="A42" s="74" t="s">
        <v>51</v>
      </c>
      <c r="B42" s="66"/>
      <c r="C42" s="62"/>
      <c r="D42" s="170">
        <f>'101 MAY'!G42</f>
        <v>396.97</v>
      </c>
      <c r="E42" s="170">
        <v>824941.75</v>
      </c>
      <c r="F42" s="62"/>
      <c r="G42" s="179">
        <f>C42+E42+D42</f>
        <v>825338.72</v>
      </c>
      <c r="H42" s="62"/>
      <c r="I42" s="254" t="s">
        <v>55</v>
      </c>
      <c r="J42" s="67" t="s">
        <v>38</v>
      </c>
      <c r="K42" s="62"/>
      <c r="L42" s="170">
        <f>'101 MAY'!P42</f>
        <v>22630000</v>
      </c>
      <c r="M42" s="68"/>
      <c r="N42" s="68">
        <v>0</v>
      </c>
      <c r="O42" s="68"/>
      <c r="P42" s="170">
        <f>L42+N42</f>
        <v>22630000</v>
      </c>
      <c r="AB42" s="64"/>
      <c r="AC42" s="65"/>
    </row>
    <row r="43" spans="1:29" ht="15.75">
      <c r="A43" s="69"/>
      <c r="B43" s="66" t="s">
        <v>49</v>
      </c>
      <c r="C43" s="62"/>
      <c r="D43" s="170">
        <f>'101 MAY'!G43</f>
        <v>284682091.33000004</v>
      </c>
      <c r="E43" s="170">
        <f>AB25</f>
        <v>258397048.94</v>
      </c>
      <c r="F43" s="62"/>
      <c r="G43" s="179">
        <f>C43+E43+D43</f>
        <v>543079140.27</v>
      </c>
      <c r="H43" s="62"/>
      <c r="I43" s="254"/>
      <c r="J43" s="64" t="s">
        <v>40</v>
      </c>
      <c r="K43" s="62"/>
      <c r="L43" s="172">
        <f>'101 MAY'!P43</f>
        <v>187686414.89</v>
      </c>
      <c r="M43" s="70"/>
      <c r="N43" s="70">
        <f>+L25</f>
        <v>125132591.35999998</v>
      </c>
      <c r="O43" s="70"/>
      <c r="P43" s="171">
        <f>L43+N43</f>
        <v>312819006.25</v>
      </c>
      <c r="AB43" s="64"/>
      <c r="AC43" s="65"/>
    </row>
    <row r="44" spans="1:29" ht="16.5" thickBot="1">
      <c r="A44" s="74" t="s">
        <v>50</v>
      </c>
      <c r="B44" s="49"/>
      <c r="C44" s="75">
        <f>C41-C42-C43</f>
        <v>0</v>
      </c>
      <c r="D44" s="178">
        <f>D41-D42-D43</f>
        <v>777932.8099999428</v>
      </c>
      <c r="E44" s="178">
        <f>E41-E42-E43</f>
        <v>-777932.8100000024</v>
      </c>
      <c r="F44" s="62"/>
      <c r="G44" s="75">
        <f>G41-G42-G43</f>
        <v>0</v>
      </c>
      <c r="H44" s="62"/>
      <c r="I44" s="254"/>
      <c r="J44" s="64" t="s">
        <v>41</v>
      </c>
      <c r="K44" s="62"/>
      <c r="L44" s="168">
        <f>L42-L43</f>
        <v>-165056414.89</v>
      </c>
      <c r="M44" s="70"/>
      <c r="N44" s="168">
        <f>N42-N43</f>
        <v>-125132591.35999998</v>
      </c>
      <c r="O44" s="70"/>
      <c r="P44" s="169">
        <f>P42-P43</f>
        <v>-290189006.25</v>
      </c>
      <c r="AB44" s="64"/>
      <c r="AC44" s="65"/>
    </row>
    <row r="45" spans="1:7" ht="16.5" thickTop="1">
      <c r="A45" s="69"/>
      <c r="B45" s="49"/>
      <c r="C45" s="62"/>
      <c r="D45" s="62"/>
      <c r="E45" s="62"/>
      <c r="F45" s="62"/>
      <c r="G45" s="63"/>
    </row>
    <row r="46" spans="1:7" ht="15.75">
      <c r="A46" s="69"/>
      <c r="B46" s="167"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sheetData>
  <sheetProtection/>
  <mergeCells count="29">
    <mergeCell ref="I42:I44"/>
    <mergeCell ref="I30:I32"/>
    <mergeCell ref="I34:I36"/>
    <mergeCell ref="AB1:AC1"/>
    <mergeCell ref="A2:AC2"/>
    <mergeCell ref="A3:AC3"/>
    <mergeCell ref="A4:AC4"/>
    <mergeCell ref="A12:B14"/>
    <mergeCell ref="C12:G13"/>
    <mergeCell ref="H12:Q12"/>
    <mergeCell ref="R12:R14"/>
    <mergeCell ref="S12:W13"/>
    <mergeCell ref="X12:AB13"/>
    <mergeCell ref="AC12:AC14"/>
    <mergeCell ref="H13:L13"/>
    <mergeCell ref="M13:Q13"/>
    <mergeCell ref="A16:B16"/>
    <mergeCell ref="A17:B17"/>
    <mergeCell ref="A18:B18"/>
    <mergeCell ref="A15:B15"/>
    <mergeCell ref="C15:G15"/>
    <mergeCell ref="X37:Y37"/>
    <mergeCell ref="I38:I40"/>
    <mergeCell ref="R38:S38"/>
    <mergeCell ref="X38:Y38"/>
    <mergeCell ref="S15:W15"/>
    <mergeCell ref="X15:AB15"/>
    <mergeCell ref="H15:L15"/>
    <mergeCell ref="M15:Q15"/>
  </mergeCells>
  <printOptions horizontalCentered="1"/>
  <pageMargins left="0.79" right="0.79" top="0.75" bottom="0.75" header="0.3" footer="0.3"/>
  <pageSetup horizontalDpi="600" verticalDpi="600" orientation="landscape" paperSize="3" scale="60" r:id="rId1"/>
</worksheet>
</file>

<file path=xl/worksheets/sheet9.xml><?xml version="1.0" encoding="utf-8"?>
<worksheet xmlns="http://schemas.openxmlformats.org/spreadsheetml/2006/main" xmlns:r="http://schemas.openxmlformats.org/officeDocument/2006/relationships">
  <dimension ref="A1:AE54"/>
  <sheetViews>
    <sheetView view="pageBreakPreview" zoomScale="85" zoomScaleNormal="115" zoomScaleSheetLayoutView="85" zoomScalePageLayoutView="0" workbookViewId="0" topLeftCell="A11">
      <pane xSplit="2" ySplit="5" topLeftCell="C16" activePane="bottomRight" state="frozen"/>
      <selection pane="topLeft" activeCell="A11" sqref="A11"/>
      <selection pane="topRight" activeCell="C11" sqref="C11"/>
      <selection pane="bottomLeft" activeCell="A16" sqref="A16"/>
      <selection pane="bottomRight" activeCell="E42" sqref="E42"/>
    </sheetView>
  </sheetViews>
  <sheetFormatPr defaultColWidth="11.00390625" defaultRowHeight="15.75"/>
  <cols>
    <col min="1" max="1" width="3.50390625" style="60" customWidth="1"/>
    <col min="2" max="2" width="25.75390625" style="60" customWidth="1"/>
    <col min="3" max="3" width="12.625" style="61" customWidth="1"/>
    <col min="4" max="4" width="13.375" style="61" customWidth="1"/>
    <col min="5" max="5" width="13.50390625" style="61" customWidth="1"/>
    <col min="6" max="6" width="12.375" style="61" customWidth="1"/>
    <col min="7" max="7" width="13.25390625" style="61" customWidth="1"/>
    <col min="8" max="8" width="12.375" style="61" customWidth="1"/>
    <col min="9" max="9" width="12.625" style="61" customWidth="1"/>
    <col min="10" max="10" width="10.625" style="61" customWidth="1"/>
    <col min="11" max="11" width="12.125" style="61" customWidth="1"/>
    <col min="12" max="12" width="13.50390625" style="61" customWidth="1"/>
    <col min="13" max="13" width="4.125" style="61" customWidth="1"/>
    <col min="14" max="14" width="12.75390625" style="61" customWidth="1"/>
    <col min="15" max="15" width="4.25390625" style="61" customWidth="1"/>
    <col min="16" max="16" width="12.50390625" style="61" customWidth="1"/>
    <col min="17" max="17" width="9.625" style="61" customWidth="1"/>
    <col min="18" max="18" width="13.375" style="61" customWidth="1"/>
    <col min="19" max="19" width="6.00390625" style="61" customWidth="1"/>
    <col min="20" max="20" width="6.50390625" style="61" customWidth="1"/>
    <col min="21" max="21" width="4.75390625" style="61" customWidth="1"/>
    <col min="22" max="22" width="6.75390625" style="61" customWidth="1"/>
    <col min="23" max="23" width="7.375" style="61" customWidth="1"/>
    <col min="24" max="24" width="13.25390625" style="61" customWidth="1"/>
    <col min="25" max="25" width="13.50390625" style="61" customWidth="1"/>
    <col min="26" max="26" width="10.875" style="61" customWidth="1"/>
    <col min="27" max="27" width="12.875" style="61" customWidth="1"/>
    <col min="28" max="28" width="12.75390625" style="61" customWidth="1"/>
    <col min="29" max="29" width="2.375" style="60" customWidth="1"/>
    <col min="30" max="30" width="11.00390625" style="121" customWidth="1"/>
    <col min="31" max="31" width="12.375" style="121" bestFit="1" customWidth="1"/>
    <col min="32" max="16384" width="11.00390625" style="121" customWidth="1"/>
  </cols>
  <sheetData>
    <row r="1" spans="1:2" ht="15.75">
      <c r="A1" s="119"/>
      <c r="B1" s="120"/>
    </row>
    <row r="2" spans="1:29" ht="15.75">
      <c r="A2" s="271" t="s">
        <v>68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ht="15.75">
      <c r="A3" s="271" t="s">
        <v>89</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29" ht="15.75">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3" ht="15.75">
      <c r="A5" s="122"/>
      <c r="B5" s="122"/>
      <c r="C5" s="123"/>
      <c r="D5" s="123"/>
      <c r="E5" s="123"/>
      <c r="F5" s="123"/>
      <c r="G5" s="123"/>
      <c r="H5" s="124"/>
      <c r="I5" s="124"/>
      <c r="J5" s="124"/>
      <c r="K5" s="125"/>
      <c r="L5" s="125"/>
      <c r="M5" s="125"/>
      <c r="N5" s="125"/>
      <c r="O5" s="125"/>
      <c r="P5" s="125"/>
      <c r="Q5" s="125"/>
      <c r="R5" s="125"/>
      <c r="S5" s="125"/>
      <c r="T5" s="124"/>
      <c r="U5" s="124"/>
      <c r="V5" s="124"/>
      <c r="W5" s="124"/>
    </row>
    <row r="6" spans="1:29" ht="15.75">
      <c r="A6" s="126" t="s">
        <v>0</v>
      </c>
      <c r="B6" s="127"/>
      <c r="C6" s="128"/>
      <c r="D6" s="128"/>
      <c r="E6" s="128"/>
      <c r="F6" s="128"/>
      <c r="G6" s="128"/>
      <c r="H6" s="128"/>
      <c r="I6" s="128"/>
      <c r="J6" s="128"/>
      <c r="K6" s="129"/>
      <c r="L6" s="129"/>
      <c r="M6" s="129"/>
      <c r="N6" s="129"/>
      <c r="O6" s="129"/>
      <c r="P6" s="129"/>
      <c r="Q6" s="129"/>
      <c r="R6" s="129"/>
      <c r="S6" s="129"/>
      <c r="T6" s="128"/>
      <c r="U6" s="128"/>
      <c r="V6" s="128"/>
      <c r="W6" s="128"/>
      <c r="X6" s="128"/>
      <c r="Y6" s="128"/>
      <c r="Z6" s="128"/>
      <c r="AA6" s="128"/>
      <c r="AB6" s="128"/>
      <c r="AC6" s="121"/>
    </row>
    <row r="7" spans="1:29" ht="15.75">
      <c r="A7" s="126" t="s">
        <v>1</v>
      </c>
      <c r="B7" s="127"/>
      <c r="C7" s="128"/>
      <c r="D7" s="128"/>
      <c r="E7" s="128"/>
      <c r="F7" s="126"/>
      <c r="G7" s="127"/>
      <c r="H7" s="128"/>
      <c r="I7" s="128"/>
      <c r="J7" s="128"/>
      <c r="K7" s="128"/>
      <c r="L7" s="128"/>
      <c r="M7" s="128"/>
      <c r="N7" s="128"/>
      <c r="O7" s="128"/>
      <c r="P7" s="128"/>
      <c r="Q7" s="128"/>
      <c r="R7" s="128"/>
      <c r="S7" s="128"/>
      <c r="T7" s="128"/>
      <c r="U7" s="128"/>
      <c r="V7" s="128"/>
      <c r="W7" s="128"/>
      <c r="X7" s="128"/>
      <c r="Y7" s="128"/>
      <c r="Z7" s="128"/>
      <c r="AA7" s="128"/>
      <c r="AB7" s="128"/>
      <c r="AC7" s="121"/>
    </row>
    <row r="8" spans="1:29" ht="15.75">
      <c r="A8" s="126" t="s">
        <v>2</v>
      </c>
      <c r="B8" s="127"/>
      <c r="C8" s="128"/>
      <c r="D8" s="128"/>
      <c r="E8" s="128"/>
      <c r="F8" s="126"/>
      <c r="G8" s="127"/>
      <c r="H8" s="128"/>
      <c r="I8" s="128"/>
      <c r="J8" s="128"/>
      <c r="K8" s="128"/>
      <c r="L8" s="128"/>
      <c r="M8" s="128"/>
      <c r="N8" s="128"/>
      <c r="O8" s="128"/>
      <c r="P8" s="128"/>
      <c r="Q8" s="128"/>
      <c r="R8" s="128"/>
      <c r="S8" s="128"/>
      <c r="T8" s="128"/>
      <c r="U8" s="128"/>
      <c r="V8" s="128"/>
      <c r="W8" s="128"/>
      <c r="X8" s="128"/>
      <c r="Y8" s="128"/>
      <c r="Z8" s="128"/>
      <c r="AA8" s="128"/>
      <c r="AB8" s="128"/>
      <c r="AC8" s="121"/>
    </row>
    <row r="9" spans="1:29" ht="15.75">
      <c r="A9" s="126" t="s">
        <v>79</v>
      </c>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1"/>
    </row>
    <row r="10" spans="1:29" ht="15.75">
      <c r="A10" s="126" t="s">
        <v>78</v>
      </c>
      <c r="B10" s="127"/>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6.5" thickBot="1">
      <c r="A11" s="126"/>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1"/>
    </row>
    <row r="12" spans="1:29" ht="15.75">
      <c r="A12" s="272" t="s">
        <v>4</v>
      </c>
      <c r="B12" s="273"/>
      <c r="C12" s="278" t="s">
        <v>5</v>
      </c>
      <c r="D12" s="279"/>
      <c r="E12" s="279"/>
      <c r="F12" s="279"/>
      <c r="G12" s="280"/>
      <c r="H12" s="284" t="s">
        <v>6</v>
      </c>
      <c r="I12" s="285"/>
      <c r="J12" s="285"/>
      <c r="K12" s="285"/>
      <c r="L12" s="285"/>
      <c r="M12" s="285"/>
      <c r="N12" s="285"/>
      <c r="O12" s="285"/>
      <c r="P12" s="285"/>
      <c r="Q12" s="286"/>
      <c r="R12" s="287" t="s">
        <v>7</v>
      </c>
      <c r="S12" s="278" t="s">
        <v>8</v>
      </c>
      <c r="T12" s="279"/>
      <c r="U12" s="279"/>
      <c r="V12" s="279"/>
      <c r="W12" s="279"/>
      <c r="X12" s="278" t="s">
        <v>9</v>
      </c>
      <c r="Y12" s="279"/>
      <c r="Z12" s="279"/>
      <c r="AA12" s="279"/>
      <c r="AB12" s="280"/>
      <c r="AC12" s="293" t="s">
        <v>10</v>
      </c>
    </row>
    <row r="13" spans="1:29" ht="15.75">
      <c r="A13" s="274"/>
      <c r="B13" s="275"/>
      <c r="C13" s="281"/>
      <c r="D13" s="282"/>
      <c r="E13" s="282"/>
      <c r="F13" s="282"/>
      <c r="G13" s="283"/>
      <c r="H13" s="295" t="s">
        <v>57</v>
      </c>
      <c r="I13" s="296"/>
      <c r="J13" s="296"/>
      <c r="K13" s="296"/>
      <c r="L13" s="297"/>
      <c r="M13" s="295" t="s">
        <v>56</v>
      </c>
      <c r="N13" s="296"/>
      <c r="O13" s="296"/>
      <c r="P13" s="296"/>
      <c r="Q13" s="297"/>
      <c r="R13" s="288"/>
      <c r="S13" s="290"/>
      <c r="T13" s="291"/>
      <c r="U13" s="291"/>
      <c r="V13" s="291"/>
      <c r="W13" s="291"/>
      <c r="X13" s="290"/>
      <c r="Y13" s="291"/>
      <c r="Z13" s="291"/>
      <c r="AA13" s="291"/>
      <c r="AB13" s="292"/>
      <c r="AC13" s="294"/>
    </row>
    <row r="14" spans="1:29" ht="16.5" thickBot="1">
      <c r="A14" s="276"/>
      <c r="B14" s="277"/>
      <c r="C14" s="130" t="s">
        <v>11</v>
      </c>
      <c r="D14" s="131" t="s">
        <v>12</v>
      </c>
      <c r="E14" s="131" t="s">
        <v>13</v>
      </c>
      <c r="F14" s="131" t="s">
        <v>14</v>
      </c>
      <c r="G14" s="132" t="s">
        <v>15</v>
      </c>
      <c r="H14" s="133" t="s">
        <v>11</v>
      </c>
      <c r="I14" s="134" t="s">
        <v>12</v>
      </c>
      <c r="J14" s="135" t="s">
        <v>13</v>
      </c>
      <c r="K14" s="134" t="s">
        <v>14</v>
      </c>
      <c r="L14" s="136" t="s">
        <v>15</v>
      </c>
      <c r="M14" s="133" t="s">
        <v>11</v>
      </c>
      <c r="N14" s="134" t="s">
        <v>12</v>
      </c>
      <c r="O14" s="135" t="s">
        <v>13</v>
      </c>
      <c r="P14" s="134" t="s">
        <v>14</v>
      </c>
      <c r="Q14" s="136" t="s">
        <v>15</v>
      </c>
      <c r="R14" s="289"/>
      <c r="S14" s="133" t="s">
        <v>11</v>
      </c>
      <c r="T14" s="134" t="s">
        <v>12</v>
      </c>
      <c r="U14" s="134" t="s">
        <v>13</v>
      </c>
      <c r="V14" s="134" t="s">
        <v>14</v>
      </c>
      <c r="W14" s="137" t="s">
        <v>15</v>
      </c>
      <c r="X14" s="138" t="s">
        <v>11</v>
      </c>
      <c r="Y14" s="135" t="s">
        <v>12</v>
      </c>
      <c r="Z14" s="135" t="s">
        <v>13</v>
      </c>
      <c r="AA14" s="135" t="s">
        <v>14</v>
      </c>
      <c r="AB14" s="139" t="s">
        <v>15</v>
      </c>
      <c r="AC14" s="294"/>
    </row>
    <row r="15" spans="1:30" ht="16.5" thickBot="1">
      <c r="A15" s="260" t="s">
        <v>16</v>
      </c>
      <c r="B15" s="261"/>
      <c r="C15" s="255" t="s">
        <v>17</v>
      </c>
      <c r="D15" s="256"/>
      <c r="E15" s="256"/>
      <c r="F15" s="256"/>
      <c r="G15" s="262"/>
      <c r="H15" s="263">
        <v>3</v>
      </c>
      <c r="I15" s="264"/>
      <c r="J15" s="264"/>
      <c r="K15" s="264"/>
      <c r="L15" s="265"/>
      <c r="M15" s="266">
        <v>4</v>
      </c>
      <c r="N15" s="267"/>
      <c r="O15" s="267"/>
      <c r="P15" s="267"/>
      <c r="Q15" s="268"/>
      <c r="R15" s="31" t="s">
        <v>20</v>
      </c>
      <c r="S15" s="269" t="s">
        <v>21</v>
      </c>
      <c r="T15" s="256"/>
      <c r="U15" s="256"/>
      <c r="V15" s="256"/>
      <c r="W15" s="257"/>
      <c r="X15" s="255" t="s">
        <v>22</v>
      </c>
      <c r="Y15" s="256"/>
      <c r="Z15" s="256"/>
      <c r="AA15" s="256"/>
      <c r="AB15" s="257"/>
      <c r="AC15" s="32" t="s">
        <v>23</v>
      </c>
      <c r="AD15" s="121" t="s">
        <v>63</v>
      </c>
    </row>
    <row r="16" spans="1:29" ht="15.75">
      <c r="A16" s="248"/>
      <c r="B16" s="249"/>
      <c r="C16" s="145"/>
      <c r="D16" s="34"/>
      <c r="E16" s="33"/>
      <c r="F16" s="33"/>
      <c r="G16" s="33"/>
      <c r="H16" s="34"/>
      <c r="I16" s="33"/>
      <c r="J16" s="33"/>
      <c r="K16" s="33"/>
      <c r="L16" s="145"/>
      <c r="M16" s="34"/>
      <c r="N16" s="33"/>
      <c r="O16" s="33"/>
      <c r="P16" s="33"/>
      <c r="Q16" s="33"/>
      <c r="R16" s="34"/>
      <c r="S16" s="34"/>
      <c r="T16" s="33"/>
      <c r="U16" s="33"/>
      <c r="V16" s="33"/>
      <c r="W16" s="33"/>
      <c r="X16" s="34"/>
      <c r="Y16" s="33"/>
      <c r="Z16" s="33"/>
      <c r="AA16" s="33"/>
      <c r="AB16" s="35"/>
      <c r="AC16" s="36"/>
    </row>
    <row r="17" spans="1:29" ht="15.75">
      <c r="A17" s="250" t="s">
        <v>24</v>
      </c>
      <c r="B17" s="251"/>
      <c r="C17" s="157">
        <f>C18+C19</f>
        <v>11083614.48</v>
      </c>
      <c r="D17" s="158">
        <f>D18+D19</f>
        <v>13886055.18</v>
      </c>
      <c r="E17" s="157">
        <f>E18+E19</f>
        <v>0</v>
      </c>
      <c r="F17" s="157">
        <f>F18+F19</f>
        <v>9285602.5</v>
      </c>
      <c r="G17" s="159">
        <f>SUM(C17:F17)</f>
        <v>34255272.16</v>
      </c>
      <c r="H17" s="157">
        <f>H18+H19</f>
        <v>186683.41</v>
      </c>
      <c r="I17" s="157">
        <f>I18+I19</f>
        <v>24471716.6</v>
      </c>
      <c r="J17" s="157">
        <f>J18+J19</f>
        <v>0</v>
      </c>
      <c r="K17" s="157">
        <f>K18+K19</f>
        <v>2990770.26</v>
      </c>
      <c r="L17" s="159">
        <f>SUM(H17:K17)</f>
        <v>27649170.270000003</v>
      </c>
      <c r="M17" s="143">
        <f>M18+M19</f>
        <v>0</v>
      </c>
      <c r="N17" s="157">
        <f>N18+N19</f>
        <v>0</v>
      </c>
      <c r="O17" s="37">
        <f>O18+O19</f>
        <v>0</v>
      </c>
      <c r="P17" s="157">
        <f>P18+P19</f>
        <v>0</v>
      </c>
      <c r="Q17" s="159">
        <f>SUM(M17:P17)</f>
        <v>0</v>
      </c>
      <c r="R17" s="162">
        <f>G17+L17+Q17</f>
        <v>61904442.43</v>
      </c>
      <c r="S17" s="157">
        <f>S18+S19</f>
        <v>0</v>
      </c>
      <c r="T17" s="157">
        <f>T18+T19</f>
        <v>0</v>
      </c>
      <c r="U17" s="157">
        <f>U18+U19</f>
        <v>0</v>
      </c>
      <c r="V17" s="157">
        <f>V18+V19</f>
        <v>0</v>
      </c>
      <c r="W17" s="159">
        <f>SUM(S17:V17)</f>
        <v>0</v>
      </c>
      <c r="X17" s="157">
        <f>X18+X19</f>
        <v>11270297.89</v>
      </c>
      <c r="Y17" s="157">
        <f>Y18+Y19</f>
        <v>38357771.78</v>
      </c>
      <c r="Z17" s="157">
        <f>Z18+Z19</f>
        <v>0</v>
      </c>
      <c r="AA17" s="157">
        <f>AA18+AA19</f>
        <v>12276372.76</v>
      </c>
      <c r="AB17" s="159">
        <f>SUM(X17:AA17)</f>
        <v>61904442.43</v>
      </c>
      <c r="AC17" s="40"/>
    </row>
    <row r="18" spans="1:31" ht="15.75">
      <c r="A18" s="252" t="s">
        <v>25</v>
      </c>
      <c r="B18" s="253"/>
      <c r="C18" s="148">
        <v>11054811.3</v>
      </c>
      <c r="D18" s="149">
        <v>12199597.18</v>
      </c>
      <c r="E18" s="150"/>
      <c r="F18" s="150">
        <v>9060762.53</v>
      </c>
      <c r="G18" s="159">
        <f aca="true" t="shared" si="0" ref="G18:G24">SUM(C18:F18)</f>
        <v>32315171.009999998</v>
      </c>
      <c r="H18" s="155">
        <v>186683.41</v>
      </c>
      <c r="I18" s="154">
        <v>17534758.05</v>
      </c>
      <c r="J18" s="150"/>
      <c r="K18" s="150">
        <v>1342975.89</v>
      </c>
      <c r="L18" s="159">
        <f aca="true" t="shared" si="1" ref="L18:L24">SUM(H18:K18)</f>
        <v>19064417.35</v>
      </c>
      <c r="M18" s="144"/>
      <c r="N18" s="41"/>
      <c r="O18" s="41"/>
      <c r="P18" s="41"/>
      <c r="Q18" s="159">
        <f aca="true" t="shared" si="2" ref="Q18:Q24">SUM(M18:P18)</f>
        <v>0</v>
      </c>
      <c r="R18" s="162">
        <f aca="true" t="shared" si="3" ref="R18:R24">G18+L18+Q18</f>
        <v>51379588.36</v>
      </c>
      <c r="S18" s="41"/>
      <c r="T18" s="41"/>
      <c r="U18" s="41"/>
      <c r="V18" s="41"/>
      <c r="W18" s="159">
        <f aca="true" t="shared" si="4" ref="W18:W24">SUM(S18:V18)</f>
        <v>0</v>
      </c>
      <c r="X18" s="41">
        <f>C18+H18+M18+S18</f>
        <v>11241494.71</v>
      </c>
      <c r="Y18" s="41">
        <f aca="true" t="shared" si="5" ref="Y18:AA24">D18+I18+N18+T18</f>
        <v>29734355.23</v>
      </c>
      <c r="Z18" s="41">
        <f t="shared" si="5"/>
        <v>0</v>
      </c>
      <c r="AA18" s="41">
        <f t="shared" si="5"/>
        <v>10403738.42</v>
      </c>
      <c r="AB18" s="159">
        <f aca="true" t="shared" si="6" ref="AB18:AB24">SUM(X18:AA18)</f>
        <v>51379588.36</v>
      </c>
      <c r="AC18" s="42"/>
      <c r="AE18" s="128"/>
    </row>
    <row r="19" spans="1:29" ht="15.75">
      <c r="A19" s="116" t="s">
        <v>26</v>
      </c>
      <c r="B19" s="44"/>
      <c r="C19" s="150">
        <v>28803.18</v>
      </c>
      <c r="D19" s="151">
        <v>1686458</v>
      </c>
      <c r="E19" s="150"/>
      <c r="F19" s="150">
        <v>224839.97</v>
      </c>
      <c r="G19" s="159">
        <f t="shared" si="0"/>
        <v>1940101.15</v>
      </c>
      <c r="H19" s="150"/>
      <c r="I19" s="151">
        <v>6936958.55</v>
      </c>
      <c r="J19" s="150"/>
      <c r="K19" s="150">
        <v>1647794.37</v>
      </c>
      <c r="L19" s="159">
        <f t="shared" si="1"/>
        <v>8584752.92</v>
      </c>
      <c r="M19" s="144"/>
      <c r="N19" s="41"/>
      <c r="O19" s="41"/>
      <c r="P19" s="41"/>
      <c r="Q19" s="159">
        <f t="shared" si="2"/>
        <v>0</v>
      </c>
      <c r="R19" s="162">
        <f t="shared" si="3"/>
        <v>10524854.07</v>
      </c>
      <c r="S19" s="41"/>
      <c r="T19" s="41"/>
      <c r="U19" s="41"/>
      <c r="V19" s="41"/>
      <c r="W19" s="159">
        <f t="shared" si="4"/>
        <v>0</v>
      </c>
      <c r="X19" s="41">
        <f aca="true" t="shared" si="7" ref="X19:X24">C19+H19+M19+S19</f>
        <v>28803.18</v>
      </c>
      <c r="Y19" s="41">
        <f t="shared" si="5"/>
        <v>8623416.55</v>
      </c>
      <c r="Z19" s="41">
        <f t="shared" si="5"/>
        <v>0</v>
      </c>
      <c r="AA19" s="41">
        <f t="shared" si="5"/>
        <v>1872634.34</v>
      </c>
      <c r="AB19" s="159">
        <f t="shared" si="6"/>
        <v>10524854.07</v>
      </c>
      <c r="AC19" s="42"/>
    </row>
    <row r="20" spans="1:29" ht="15.75">
      <c r="A20" s="115" t="s">
        <v>27</v>
      </c>
      <c r="B20" s="44"/>
      <c r="C20" s="150"/>
      <c r="D20" s="152"/>
      <c r="E20" s="150"/>
      <c r="F20" s="150"/>
      <c r="G20" s="159">
        <f t="shared" si="0"/>
        <v>0</v>
      </c>
      <c r="H20" s="150"/>
      <c r="I20" s="150"/>
      <c r="J20" s="150"/>
      <c r="K20" s="150"/>
      <c r="L20" s="159">
        <f t="shared" si="1"/>
        <v>0</v>
      </c>
      <c r="M20" s="144"/>
      <c r="N20" s="41"/>
      <c r="O20" s="41"/>
      <c r="P20" s="41"/>
      <c r="Q20" s="159">
        <f t="shared" si="2"/>
        <v>0</v>
      </c>
      <c r="R20" s="162">
        <f t="shared" si="3"/>
        <v>0</v>
      </c>
      <c r="S20" s="41"/>
      <c r="T20" s="41"/>
      <c r="U20" s="41"/>
      <c r="V20" s="41"/>
      <c r="W20" s="159">
        <f t="shared" si="4"/>
        <v>0</v>
      </c>
      <c r="X20" s="41">
        <f t="shared" si="7"/>
        <v>0</v>
      </c>
      <c r="Y20" s="41">
        <f t="shared" si="5"/>
        <v>0</v>
      </c>
      <c r="Z20" s="41">
        <f t="shared" si="5"/>
        <v>0</v>
      </c>
      <c r="AA20" s="41">
        <f t="shared" si="5"/>
        <v>0</v>
      </c>
      <c r="AB20" s="159">
        <f t="shared" si="6"/>
        <v>0</v>
      </c>
      <c r="AC20" s="42"/>
    </row>
    <row r="21" spans="1:31" ht="15.75">
      <c r="A21" s="115" t="s">
        <v>28</v>
      </c>
      <c r="B21" s="117"/>
      <c r="C21" s="148">
        <v>803746.13</v>
      </c>
      <c r="D21" s="155">
        <v>224726.7</v>
      </c>
      <c r="E21" s="148"/>
      <c r="F21" s="155">
        <v>594007.22</v>
      </c>
      <c r="G21" s="159">
        <f t="shared" si="0"/>
        <v>1622480.05</v>
      </c>
      <c r="H21" s="150"/>
      <c r="I21" s="155">
        <v>923721.91</v>
      </c>
      <c r="J21" s="148"/>
      <c r="K21" s="155">
        <v>220248.7</v>
      </c>
      <c r="L21" s="159">
        <f t="shared" si="1"/>
        <v>1143970.61</v>
      </c>
      <c r="M21" s="147"/>
      <c r="N21" s="87"/>
      <c r="O21" s="41"/>
      <c r="P21" s="41"/>
      <c r="Q21" s="159">
        <f t="shared" si="2"/>
        <v>0</v>
      </c>
      <c r="R21" s="162">
        <f t="shared" si="3"/>
        <v>2766450.66</v>
      </c>
      <c r="S21" s="41"/>
      <c r="T21" s="41"/>
      <c r="U21" s="41"/>
      <c r="V21" s="41"/>
      <c r="W21" s="159">
        <f t="shared" si="4"/>
        <v>0</v>
      </c>
      <c r="X21" s="41">
        <f t="shared" si="7"/>
        <v>803746.13</v>
      </c>
      <c r="Y21" s="41">
        <f t="shared" si="5"/>
        <v>1148448.61</v>
      </c>
      <c r="Z21" s="41">
        <f>E21+J21+O21+U21</f>
        <v>0</v>
      </c>
      <c r="AA21" s="41">
        <f t="shared" si="5"/>
        <v>814255.9199999999</v>
      </c>
      <c r="AB21" s="159">
        <f t="shared" si="6"/>
        <v>2766450.66</v>
      </c>
      <c r="AC21" s="42"/>
      <c r="AE21" s="128"/>
    </row>
    <row r="22" spans="1:29" ht="15.75">
      <c r="A22" s="115" t="s">
        <v>29</v>
      </c>
      <c r="B22" s="117"/>
      <c r="C22" s="150"/>
      <c r="D22" s="152"/>
      <c r="E22" s="150"/>
      <c r="F22" s="150"/>
      <c r="G22" s="159">
        <f t="shared" si="0"/>
        <v>0</v>
      </c>
      <c r="H22" s="150"/>
      <c r="I22" s="150"/>
      <c r="J22" s="150"/>
      <c r="K22" s="150"/>
      <c r="L22" s="159">
        <f t="shared" si="1"/>
        <v>0</v>
      </c>
      <c r="M22" s="144"/>
      <c r="N22" s="41"/>
      <c r="O22" s="41"/>
      <c r="P22" s="41"/>
      <c r="Q22" s="159">
        <f t="shared" si="2"/>
        <v>0</v>
      </c>
      <c r="R22" s="162">
        <f t="shared" si="3"/>
        <v>0</v>
      </c>
      <c r="S22" s="41"/>
      <c r="T22" s="41"/>
      <c r="U22" s="41"/>
      <c r="V22" s="41"/>
      <c r="W22" s="159">
        <f t="shared" si="4"/>
        <v>0</v>
      </c>
      <c r="X22" s="41">
        <f t="shared" si="7"/>
        <v>0</v>
      </c>
      <c r="Y22" s="41">
        <f t="shared" si="5"/>
        <v>0</v>
      </c>
      <c r="Z22" s="41">
        <f t="shared" si="5"/>
        <v>0</v>
      </c>
      <c r="AA22" s="41">
        <f t="shared" si="5"/>
        <v>0</v>
      </c>
      <c r="AB22" s="159">
        <f t="shared" si="6"/>
        <v>0</v>
      </c>
      <c r="AC22" s="42"/>
    </row>
    <row r="23" spans="1:29" ht="15.75">
      <c r="A23" s="115" t="s">
        <v>30</v>
      </c>
      <c r="B23" s="117"/>
      <c r="C23" s="150"/>
      <c r="D23" s="152"/>
      <c r="E23" s="150"/>
      <c r="F23" s="150"/>
      <c r="G23" s="159">
        <f t="shared" si="0"/>
        <v>0</v>
      </c>
      <c r="H23" s="150"/>
      <c r="I23" s="150"/>
      <c r="J23" s="150"/>
      <c r="K23" s="150"/>
      <c r="L23" s="159">
        <f t="shared" si="1"/>
        <v>0</v>
      </c>
      <c r="M23" s="144"/>
      <c r="N23" s="41"/>
      <c r="O23" s="41"/>
      <c r="P23" s="41"/>
      <c r="Q23" s="159">
        <f t="shared" si="2"/>
        <v>0</v>
      </c>
      <c r="R23" s="162">
        <f t="shared" si="3"/>
        <v>0</v>
      </c>
      <c r="S23" s="41"/>
      <c r="T23" s="41"/>
      <c r="U23" s="41"/>
      <c r="V23" s="41"/>
      <c r="W23" s="159">
        <f t="shared" si="4"/>
        <v>0</v>
      </c>
      <c r="X23" s="41">
        <f t="shared" si="7"/>
        <v>0</v>
      </c>
      <c r="Y23" s="41">
        <f t="shared" si="5"/>
        <v>0</v>
      </c>
      <c r="Z23" s="41">
        <f t="shared" si="5"/>
        <v>0</v>
      </c>
      <c r="AA23" s="41">
        <f t="shared" si="5"/>
        <v>0</v>
      </c>
      <c r="AB23" s="159">
        <f t="shared" si="6"/>
        <v>0</v>
      </c>
      <c r="AC23" s="42"/>
    </row>
    <row r="24" spans="1:29" ht="15.75">
      <c r="A24" s="115" t="s">
        <v>31</v>
      </c>
      <c r="B24" s="117"/>
      <c r="C24" s="153"/>
      <c r="D24" s="152"/>
      <c r="E24" s="150"/>
      <c r="F24" s="150"/>
      <c r="G24" s="159">
        <f t="shared" si="0"/>
        <v>0</v>
      </c>
      <c r="H24" s="150"/>
      <c r="I24" s="150"/>
      <c r="J24" s="150"/>
      <c r="K24" s="150"/>
      <c r="L24" s="163">
        <f t="shared" si="1"/>
        <v>0</v>
      </c>
      <c r="M24" s="144"/>
      <c r="N24" s="41"/>
      <c r="O24" s="41"/>
      <c r="P24" s="41"/>
      <c r="Q24" s="159">
        <f t="shared" si="2"/>
        <v>0</v>
      </c>
      <c r="R24" s="162">
        <f t="shared" si="3"/>
        <v>0</v>
      </c>
      <c r="S24" s="41"/>
      <c r="T24" s="41"/>
      <c r="U24" s="41"/>
      <c r="V24" s="41"/>
      <c r="W24" s="159">
        <f t="shared" si="4"/>
        <v>0</v>
      </c>
      <c r="X24" s="41">
        <f t="shared" si="7"/>
        <v>0</v>
      </c>
      <c r="Y24" s="41">
        <f t="shared" si="5"/>
        <v>0</v>
      </c>
      <c r="Z24" s="41">
        <f t="shared" si="5"/>
        <v>0</v>
      </c>
      <c r="AA24" s="41">
        <f t="shared" si="5"/>
        <v>0</v>
      </c>
      <c r="AB24" s="159">
        <f t="shared" si="6"/>
        <v>0</v>
      </c>
      <c r="AC24" s="42"/>
    </row>
    <row r="25" spans="1:29" ht="16.5" thickBot="1">
      <c r="A25" s="47"/>
      <c r="B25" s="117" t="s">
        <v>32</v>
      </c>
      <c r="C25" s="160">
        <f>C17+C21+C22+C24+C20+C23</f>
        <v>11887360.610000001</v>
      </c>
      <c r="D25" s="160">
        <f>D17+D21+D22+D24+D20+D23</f>
        <v>14110781.879999999</v>
      </c>
      <c r="E25" s="160">
        <f>E17+E21+E22+E24+E20+E23</f>
        <v>0</v>
      </c>
      <c r="F25" s="160">
        <f>F17+F21+F22+F24+F20+F23</f>
        <v>9879609.72</v>
      </c>
      <c r="G25" s="160">
        <f>G17+G21+G22+G24+G20+G23</f>
        <v>35877752.20999999</v>
      </c>
      <c r="H25" s="146">
        <f>H17+H21+H22+H24+H20+H23</f>
        <v>186683.41</v>
      </c>
      <c r="I25" s="146">
        <f>I17+I21+I22+I24+I20+I23</f>
        <v>25395438.51</v>
      </c>
      <c r="J25" s="146">
        <f>J17+J21+J22+J24+J20+J23</f>
        <v>0</v>
      </c>
      <c r="K25" s="160">
        <f>K17+K21+K22+K24+K20+K23</f>
        <v>3211018.96</v>
      </c>
      <c r="L25" s="160">
        <f>L17+L21+L22+L24+L20+L23</f>
        <v>28793140.880000003</v>
      </c>
      <c r="M25" s="146">
        <f>M17+M21+M22+M24+M20+M23</f>
        <v>0</v>
      </c>
      <c r="N25" s="160">
        <f>N17+N21+N22+N24+N20+N23</f>
        <v>0</v>
      </c>
      <c r="O25" s="146">
        <f>O17+O21+O22+O24+O20+O23</f>
        <v>0</v>
      </c>
      <c r="P25" s="160">
        <f>P17+P21+P22+P24+P20+P23</f>
        <v>0</v>
      </c>
      <c r="Q25" s="160">
        <f>Q17+Q21+Q22+Q24+Q20+Q23</f>
        <v>0</v>
      </c>
      <c r="R25" s="160">
        <f>R17+R21+R22+R24</f>
        <v>64670893.09</v>
      </c>
      <c r="S25" s="160">
        <f>S17+S21+S22+S24+S20+S23</f>
        <v>0</v>
      </c>
      <c r="T25" s="160">
        <f>T17+T21+T22+T24+T20+T23</f>
        <v>0</v>
      </c>
      <c r="U25" s="160">
        <f>U17+U21+U22+U24+U20+U23</f>
        <v>0</v>
      </c>
      <c r="V25" s="160">
        <f>V17+V21+V22+V24+V20+V23</f>
        <v>0</v>
      </c>
      <c r="W25" s="160">
        <f>W17+W21+W22+W24+W20+W23</f>
        <v>0</v>
      </c>
      <c r="X25" s="160">
        <f>X17+X21+X22+X24+X20+X23</f>
        <v>12074044.020000001</v>
      </c>
      <c r="Y25" s="160">
        <f>Y17+Y21+Y22+Y24+Y20+Y23</f>
        <v>39506220.39</v>
      </c>
      <c r="Z25" s="160">
        <f>Z17+Z21+Z22+Z24+Z20+Z23</f>
        <v>0</v>
      </c>
      <c r="AA25" s="160">
        <f>AA17+AA21+AA22+AA24+AA20+AA23</f>
        <v>13090628.68</v>
      </c>
      <c r="AB25" s="160">
        <f>AB17+AB21+AB22+AB24+AB20+AB23</f>
        <v>64670893.09</v>
      </c>
      <c r="AC25" s="42"/>
    </row>
    <row r="26" spans="1:29" ht="17.25" thickBot="1" thickTop="1">
      <c r="A26" s="47"/>
      <c r="B26" s="49"/>
      <c r="C26" s="50"/>
      <c r="D26" s="50"/>
      <c r="E26" s="50"/>
      <c r="F26" s="50"/>
      <c r="G26" s="161"/>
      <c r="H26" s="50"/>
      <c r="I26" s="50"/>
      <c r="J26" s="50"/>
      <c r="K26" s="50"/>
      <c r="L26" s="50"/>
      <c r="M26" s="50"/>
      <c r="N26" s="50"/>
      <c r="O26" s="50"/>
      <c r="P26" s="50"/>
      <c r="Q26" s="50"/>
      <c r="R26" s="50"/>
      <c r="S26" s="50"/>
      <c r="T26" s="50"/>
      <c r="U26" s="50"/>
      <c r="V26" s="50"/>
      <c r="W26" s="50"/>
      <c r="X26" s="50"/>
      <c r="Y26" s="50"/>
      <c r="Z26" s="50"/>
      <c r="AA26" s="50"/>
      <c r="AB26" s="50"/>
      <c r="AC26" s="42"/>
    </row>
    <row r="27" spans="1:29" ht="15.75">
      <c r="A27" s="54"/>
      <c r="B27" s="55"/>
      <c r="C27" s="56"/>
      <c r="D27" s="56"/>
      <c r="E27" s="56"/>
      <c r="F27" s="56"/>
      <c r="G27" s="57"/>
      <c r="H27" s="56"/>
      <c r="I27" s="56"/>
      <c r="J27" s="56"/>
      <c r="K27" s="56"/>
      <c r="L27" s="57"/>
      <c r="M27" s="57"/>
      <c r="N27" s="57"/>
      <c r="O27" s="57"/>
      <c r="P27" s="57"/>
      <c r="Q27" s="57"/>
      <c r="R27" s="57"/>
      <c r="S27" s="58"/>
      <c r="T27" s="58"/>
      <c r="U27" s="58"/>
      <c r="V27" s="58"/>
      <c r="W27" s="58"/>
      <c r="X27" s="58"/>
      <c r="Y27" s="58"/>
      <c r="Z27" s="58"/>
      <c r="AA27" s="58"/>
      <c r="AB27" s="58"/>
      <c r="AC27" s="59"/>
    </row>
    <row r="28" spans="1:29" ht="15.75">
      <c r="A28" s="117" t="s">
        <v>33</v>
      </c>
      <c r="H28" s="62"/>
      <c r="I28" s="62"/>
      <c r="J28" s="62"/>
      <c r="K28" s="62"/>
      <c r="L28" s="63"/>
      <c r="M28" s="63"/>
      <c r="N28" s="63"/>
      <c r="O28" s="63"/>
      <c r="P28" s="63"/>
      <c r="Q28" s="63"/>
      <c r="R28" s="63"/>
      <c r="S28" s="64"/>
      <c r="AC28" s="65"/>
    </row>
    <row r="29" spans="1:29" ht="26.25">
      <c r="A29" s="117"/>
      <c r="C29" s="78" t="s">
        <v>62</v>
      </c>
      <c r="D29" s="78" t="s">
        <v>34</v>
      </c>
      <c r="E29" s="78" t="s">
        <v>35</v>
      </c>
      <c r="F29" s="79"/>
      <c r="G29" s="78" t="s">
        <v>36</v>
      </c>
      <c r="H29" s="62"/>
      <c r="I29" s="62"/>
      <c r="J29" s="62"/>
      <c r="K29" s="62"/>
      <c r="L29" s="78" t="s">
        <v>34</v>
      </c>
      <c r="M29" s="78"/>
      <c r="N29" s="78" t="s">
        <v>35</v>
      </c>
      <c r="O29" s="79"/>
      <c r="P29" s="78" t="s">
        <v>36</v>
      </c>
      <c r="AC29" s="65"/>
    </row>
    <row r="30" spans="1:29" ht="15.75">
      <c r="A30" s="66" t="s">
        <v>37</v>
      </c>
      <c r="C30" s="62">
        <f>SUM(C31:C36)</f>
        <v>0</v>
      </c>
      <c r="D30" s="62">
        <f>SUM(D31:D36)</f>
        <v>220788970.45</v>
      </c>
      <c r="E30" s="62">
        <f>SUM(E31:E36)</f>
        <v>64671450.66</v>
      </c>
      <c r="F30" s="62"/>
      <c r="G30" s="62">
        <f>SUM(G31:G36)</f>
        <v>285460421.11</v>
      </c>
      <c r="H30" s="62"/>
      <c r="I30" s="254" t="s">
        <v>52</v>
      </c>
      <c r="J30" s="67" t="s">
        <v>38</v>
      </c>
      <c r="K30" s="62"/>
      <c r="L30" s="68">
        <f>'101 Apr '!P30</f>
        <v>222203694</v>
      </c>
      <c r="M30" s="68"/>
      <c r="N30" s="68">
        <f>N34+N42</f>
        <v>61905000</v>
      </c>
      <c r="O30" s="68"/>
      <c r="P30" s="68">
        <f>L30+N30</f>
        <v>284108694</v>
      </c>
      <c r="AB30" s="64"/>
      <c r="AC30" s="65"/>
    </row>
    <row r="31" spans="1:29" ht="15.75">
      <c r="A31" s="69"/>
      <c r="B31" s="66" t="s">
        <v>39</v>
      </c>
      <c r="C31" s="68"/>
      <c r="D31" s="68">
        <f>'101 Apr '!G31</f>
        <v>212171694</v>
      </c>
      <c r="E31" s="62">
        <v>61905000</v>
      </c>
      <c r="F31" s="62"/>
      <c r="G31" s="63">
        <f>C31+E31+D31</f>
        <v>274076694</v>
      </c>
      <c r="H31" s="62"/>
      <c r="I31" s="254"/>
      <c r="J31" s="64" t="s">
        <v>40</v>
      </c>
      <c r="K31" s="62"/>
      <c r="L31" s="70">
        <f>'101 Apr '!P31</f>
        <v>220011198.24</v>
      </c>
      <c r="M31" s="70"/>
      <c r="N31" s="70">
        <f>+N35+N39+N43</f>
        <v>64670893.089999996</v>
      </c>
      <c r="O31" s="70"/>
      <c r="P31" s="71">
        <f>L31+N31</f>
        <v>284682091.33</v>
      </c>
      <c r="AB31" s="64"/>
      <c r="AC31" s="65"/>
    </row>
    <row r="32" spans="1:29" ht="16.5" thickBot="1">
      <c r="A32" s="69"/>
      <c r="B32" s="66" t="s">
        <v>67</v>
      </c>
      <c r="C32" s="62"/>
      <c r="D32" s="62"/>
      <c r="E32" s="62"/>
      <c r="F32" s="62"/>
      <c r="G32" s="63">
        <f aca="true" t="shared" si="8" ref="G32:G38">C32+E32+D32</f>
        <v>0</v>
      </c>
      <c r="H32" s="62"/>
      <c r="I32" s="254"/>
      <c r="J32" s="64" t="s">
        <v>41</v>
      </c>
      <c r="K32" s="62"/>
      <c r="L32" s="72">
        <f>L30-L31</f>
        <v>2192495.7599999905</v>
      </c>
      <c r="M32" s="70"/>
      <c r="N32" s="72">
        <f>N30-N31</f>
        <v>-2765893.089999996</v>
      </c>
      <c r="O32" s="70"/>
      <c r="P32" s="73">
        <f>P30-P31</f>
        <v>-573397.3299999833</v>
      </c>
      <c r="AB32" s="64"/>
      <c r="AC32" s="65"/>
    </row>
    <row r="33" spans="1:29" ht="16.5" thickTop="1">
      <c r="A33" s="69"/>
      <c r="B33" s="66" t="s">
        <v>42</v>
      </c>
      <c r="C33" s="62"/>
      <c r="D33" s="62">
        <f>'101 Apr '!G33</f>
        <v>8617276.45</v>
      </c>
      <c r="E33" s="62">
        <f>+AB21</f>
        <v>2766450.66</v>
      </c>
      <c r="F33" s="62"/>
      <c r="G33" s="63">
        <f t="shared" si="8"/>
        <v>11383727.11</v>
      </c>
      <c r="H33" s="62"/>
      <c r="I33" s="76"/>
      <c r="J33" s="64"/>
      <c r="K33" s="62"/>
      <c r="L33" s="64"/>
      <c r="M33" s="64"/>
      <c r="N33" s="64"/>
      <c r="O33" s="64"/>
      <c r="P33" s="64"/>
      <c r="R33" s="140" t="s">
        <v>58</v>
      </c>
      <c r="X33" s="140" t="s">
        <v>60</v>
      </c>
      <c r="AB33" s="64"/>
      <c r="AC33" s="65"/>
    </row>
    <row r="34" spans="1:29" ht="15" customHeight="1">
      <c r="A34" s="69"/>
      <c r="B34" s="66" t="s">
        <v>43</v>
      </c>
      <c r="C34" s="62"/>
      <c r="D34" s="62"/>
      <c r="E34" s="62"/>
      <c r="F34" s="62"/>
      <c r="G34" s="63">
        <f t="shared" si="8"/>
        <v>0</v>
      </c>
      <c r="H34" s="62"/>
      <c r="I34" s="254" t="s">
        <v>53</v>
      </c>
      <c r="J34" s="67" t="s">
        <v>38</v>
      </c>
      <c r="K34" s="62"/>
      <c r="L34" s="68">
        <f>'101 Apr '!P34</f>
        <v>199573694</v>
      </c>
      <c r="M34" s="68"/>
      <c r="N34" s="68">
        <v>61905000</v>
      </c>
      <c r="O34" s="68"/>
      <c r="P34" s="68">
        <f>L34+N34</f>
        <v>261478694</v>
      </c>
      <c r="AB34" s="64"/>
      <c r="AC34" s="65"/>
    </row>
    <row r="35" spans="1:29" ht="15.75">
      <c r="A35" s="69"/>
      <c r="B35" s="66" t="s">
        <v>44</v>
      </c>
      <c r="C35" s="62"/>
      <c r="D35" s="62"/>
      <c r="E35" s="62"/>
      <c r="F35" s="62"/>
      <c r="G35" s="63">
        <f t="shared" si="8"/>
        <v>0</v>
      </c>
      <c r="H35" s="62"/>
      <c r="I35" s="254"/>
      <c r="J35" s="64" t="s">
        <v>40</v>
      </c>
      <c r="K35" s="62"/>
      <c r="L35" s="70">
        <f>'101 Apr '!P35</f>
        <v>61117924.230000004</v>
      </c>
      <c r="M35" s="70"/>
      <c r="N35" s="70">
        <f>+G25</f>
        <v>35877752.20999999</v>
      </c>
      <c r="O35" s="70"/>
      <c r="P35" s="71">
        <f>L35+N35</f>
        <v>96995676.44</v>
      </c>
      <c r="AB35" s="64"/>
      <c r="AC35" s="65"/>
    </row>
    <row r="36" spans="1:29" ht="16.5" thickBot="1">
      <c r="A36" s="69"/>
      <c r="B36" s="66" t="s">
        <v>45</v>
      </c>
      <c r="C36" s="62"/>
      <c r="D36" s="62"/>
      <c r="E36" s="62"/>
      <c r="F36" s="62"/>
      <c r="G36" s="63">
        <f t="shared" si="8"/>
        <v>0</v>
      </c>
      <c r="H36" s="62"/>
      <c r="I36" s="254"/>
      <c r="J36" s="64" t="s">
        <v>41</v>
      </c>
      <c r="K36" s="62"/>
      <c r="L36" s="72">
        <f>L34-L35</f>
        <v>138455769.76999998</v>
      </c>
      <c r="M36" s="70"/>
      <c r="N36" s="72">
        <f>N34-N35</f>
        <v>26027247.790000007</v>
      </c>
      <c r="O36" s="70"/>
      <c r="P36" s="73">
        <f>P34-P35</f>
        <v>164483017.56</v>
      </c>
      <c r="AB36" s="64"/>
      <c r="AC36" s="65"/>
    </row>
    <row r="37" spans="1:29" ht="16.5" thickTop="1">
      <c r="A37" s="74" t="s">
        <v>46</v>
      </c>
      <c r="B37" s="66"/>
      <c r="C37" s="62"/>
      <c r="D37" s="62"/>
      <c r="E37" s="62"/>
      <c r="F37" s="62"/>
      <c r="G37" s="63">
        <f t="shared" si="8"/>
        <v>0</v>
      </c>
      <c r="H37" s="62"/>
      <c r="I37" s="76"/>
      <c r="J37" s="64"/>
      <c r="K37" s="62"/>
      <c r="L37" s="64"/>
      <c r="M37" s="64"/>
      <c r="N37" s="64"/>
      <c r="O37" s="64"/>
      <c r="P37" s="64"/>
      <c r="R37" s="140" t="s">
        <v>81</v>
      </c>
      <c r="X37" s="259" t="s">
        <v>85</v>
      </c>
      <c r="Y37" s="259"/>
      <c r="AB37" s="64"/>
      <c r="AC37" s="65"/>
    </row>
    <row r="38" spans="1:29" ht="15" customHeight="1">
      <c r="A38" s="74" t="s">
        <v>47</v>
      </c>
      <c r="B38" s="66"/>
      <c r="C38" s="62"/>
      <c r="D38" s="62"/>
      <c r="E38" s="62"/>
      <c r="F38" s="62"/>
      <c r="G38" s="63">
        <f t="shared" si="8"/>
        <v>0</v>
      </c>
      <c r="H38" s="62"/>
      <c r="I38" s="254" t="s">
        <v>54</v>
      </c>
      <c r="J38" s="67" t="s">
        <v>38</v>
      </c>
      <c r="K38" s="62"/>
      <c r="L38" s="68"/>
      <c r="M38" s="68"/>
      <c r="N38" s="68"/>
      <c r="O38" s="68"/>
      <c r="P38" s="68">
        <f>L38+N38</f>
        <v>0</v>
      </c>
      <c r="R38" s="258" t="s">
        <v>59</v>
      </c>
      <c r="S38" s="258"/>
      <c r="X38" s="258" t="s">
        <v>61</v>
      </c>
      <c r="Y38" s="258"/>
      <c r="AB38" s="64"/>
      <c r="AC38" s="65"/>
    </row>
    <row r="39" spans="2:29" ht="15.75">
      <c r="B39" s="74" t="s">
        <v>65</v>
      </c>
      <c r="C39" s="62"/>
      <c r="D39" s="62"/>
      <c r="E39" s="62"/>
      <c r="F39" s="62"/>
      <c r="G39" s="63">
        <f>C39+E39+D39</f>
        <v>0</v>
      </c>
      <c r="H39" s="62"/>
      <c r="I39" s="254"/>
      <c r="J39" s="64" t="s">
        <v>40</v>
      </c>
      <c r="K39" s="62"/>
      <c r="L39" s="70"/>
      <c r="M39" s="70"/>
      <c r="N39" s="70">
        <f>+Q25</f>
        <v>0</v>
      </c>
      <c r="O39" s="70"/>
      <c r="P39" s="71">
        <f>L39+N39</f>
        <v>0</v>
      </c>
      <c r="AB39" s="64"/>
      <c r="AC39" s="65"/>
    </row>
    <row r="40" spans="2:29" ht="16.5" thickBot="1">
      <c r="B40" s="74" t="s">
        <v>66</v>
      </c>
      <c r="C40" s="62"/>
      <c r="D40" s="62"/>
      <c r="E40" s="62"/>
      <c r="F40" s="62"/>
      <c r="G40" s="63">
        <f>C40+E40+D40</f>
        <v>0</v>
      </c>
      <c r="H40" s="62"/>
      <c r="I40" s="254"/>
      <c r="J40" s="64" t="s">
        <v>41</v>
      </c>
      <c r="K40" s="62"/>
      <c r="L40" s="72">
        <f>L38-L39</f>
        <v>0</v>
      </c>
      <c r="M40" s="70"/>
      <c r="N40" s="72">
        <f>N38-N39</f>
        <v>0</v>
      </c>
      <c r="O40" s="70"/>
      <c r="P40" s="73">
        <f>P38-P39</f>
        <v>0</v>
      </c>
      <c r="AB40" s="64"/>
      <c r="AC40" s="65"/>
    </row>
    <row r="41" spans="1:29" ht="16.5" thickTop="1">
      <c r="A41" s="66" t="s">
        <v>48</v>
      </c>
      <c r="B41" s="66"/>
      <c r="C41" s="62">
        <f>C30-C37+C38-C39+C40</f>
        <v>0</v>
      </c>
      <c r="D41" s="62">
        <f>D30-D37+D38-D39+D40</f>
        <v>220788970.45</v>
      </c>
      <c r="E41" s="62">
        <f>E30-E37+E38-E39+E40</f>
        <v>64671450.66</v>
      </c>
      <c r="F41" s="62"/>
      <c r="G41" s="62">
        <f>G30-G37+G38-G39+G40</f>
        <v>285460421.11</v>
      </c>
      <c r="H41" s="62"/>
      <c r="I41" s="76"/>
      <c r="J41" s="64"/>
      <c r="K41" s="62"/>
      <c r="L41" s="64"/>
      <c r="M41" s="64"/>
      <c r="N41" s="64"/>
      <c r="O41" s="64"/>
      <c r="P41" s="64"/>
      <c r="AB41" s="64"/>
      <c r="AC41" s="65"/>
    </row>
    <row r="42" spans="1:29" ht="15" customHeight="1">
      <c r="A42" s="74" t="s">
        <v>51</v>
      </c>
      <c r="B42" s="66"/>
      <c r="C42" s="62"/>
      <c r="D42" s="62">
        <f>'101 Apr '!G42</f>
        <v>396.97</v>
      </c>
      <c r="E42" s="62"/>
      <c r="F42" s="62"/>
      <c r="G42" s="63">
        <f>C42+E42+D42</f>
        <v>396.97</v>
      </c>
      <c r="H42" s="62"/>
      <c r="I42" s="254" t="s">
        <v>55</v>
      </c>
      <c r="J42" s="67" t="s">
        <v>38</v>
      </c>
      <c r="K42" s="62"/>
      <c r="L42" s="68">
        <f>'101 Apr '!P42</f>
        <v>22630000</v>
      </c>
      <c r="M42" s="68"/>
      <c r="N42" s="68">
        <v>0</v>
      </c>
      <c r="O42" s="68"/>
      <c r="P42" s="68">
        <f>L42+N42</f>
        <v>22630000</v>
      </c>
      <c r="AB42" s="64"/>
      <c r="AC42" s="65"/>
    </row>
    <row r="43" spans="1:29" ht="15.75">
      <c r="A43" s="69"/>
      <c r="B43" s="66" t="s">
        <v>49</v>
      </c>
      <c r="C43" s="62"/>
      <c r="D43" s="62">
        <f>'101 Apr '!G43</f>
        <v>220011198.24</v>
      </c>
      <c r="E43" s="62">
        <f>AB25</f>
        <v>64670893.09</v>
      </c>
      <c r="F43" s="62"/>
      <c r="G43" s="63">
        <f>C43+E43+D43</f>
        <v>284682091.33000004</v>
      </c>
      <c r="H43" s="62"/>
      <c r="I43" s="254"/>
      <c r="J43" s="64" t="s">
        <v>40</v>
      </c>
      <c r="K43" s="62"/>
      <c r="L43" s="70">
        <f>'101 Apr '!P43</f>
        <v>158893274.01</v>
      </c>
      <c r="M43" s="70"/>
      <c r="N43" s="70">
        <f>+L25</f>
        <v>28793140.880000003</v>
      </c>
      <c r="O43" s="70"/>
      <c r="P43" s="71">
        <f>L43+N43</f>
        <v>187686414.89</v>
      </c>
      <c r="AB43" s="64"/>
      <c r="AC43" s="65"/>
    </row>
    <row r="44" spans="1:29" ht="16.5" thickBot="1">
      <c r="A44" s="74" t="s">
        <v>50</v>
      </c>
      <c r="B44" s="49"/>
      <c r="C44" s="75">
        <f>C41-C42-C43</f>
        <v>0</v>
      </c>
      <c r="D44" s="75">
        <f>D41-D42-D43</f>
        <v>777375.2399999797</v>
      </c>
      <c r="E44" s="75">
        <f>E41-E42-E43</f>
        <v>557.5699999928474</v>
      </c>
      <c r="F44" s="62"/>
      <c r="G44" s="75">
        <f>G41-G42-G43</f>
        <v>777932.8099999428</v>
      </c>
      <c r="H44" s="62"/>
      <c r="I44" s="254"/>
      <c r="J44" s="64" t="s">
        <v>41</v>
      </c>
      <c r="K44" s="62"/>
      <c r="L44" s="72">
        <f>L42-L43</f>
        <v>-136263274.01</v>
      </c>
      <c r="M44" s="70"/>
      <c r="N44" s="72">
        <f>N42-N43</f>
        <v>-28793140.880000003</v>
      </c>
      <c r="O44" s="70"/>
      <c r="P44" s="73">
        <f>P42-P43</f>
        <v>-165056414.89</v>
      </c>
      <c r="AB44" s="64"/>
      <c r="AC44" s="65"/>
    </row>
    <row r="45" spans="1:7" ht="16.5" thickTop="1">
      <c r="A45" s="69"/>
      <c r="B45" s="49"/>
      <c r="C45" s="62"/>
      <c r="D45" s="62"/>
      <c r="E45" s="62"/>
      <c r="F45" s="62"/>
      <c r="G45" s="63"/>
    </row>
    <row r="46" spans="1:7" ht="15.75">
      <c r="A46" s="69"/>
      <c r="B46" s="117" t="s">
        <v>64</v>
      </c>
      <c r="C46" s="62"/>
      <c r="D46" s="62"/>
      <c r="E46" s="62"/>
      <c r="F46" s="62"/>
      <c r="G46" s="63"/>
    </row>
    <row r="47" ht="15.75">
      <c r="B47" s="141" t="s">
        <v>69</v>
      </c>
    </row>
    <row r="48" ht="15.75">
      <c r="B48" s="142" t="s">
        <v>75</v>
      </c>
    </row>
    <row r="49" spans="1:29" s="61" customFormat="1" ht="12.75">
      <c r="A49" s="60"/>
      <c r="B49" s="142" t="s">
        <v>74</v>
      </c>
      <c r="AC49" s="60"/>
    </row>
    <row r="50" spans="1:29" s="61" customFormat="1" ht="12.75">
      <c r="A50" s="60"/>
      <c r="B50" s="142" t="s">
        <v>76</v>
      </c>
      <c r="AC50" s="60"/>
    </row>
    <row r="51" spans="1:29" s="61" customFormat="1" ht="12.75">
      <c r="A51" s="60"/>
      <c r="B51" s="142" t="s">
        <v>72</v>
      </c>
      <c r="AC51" s="60"/>
    </row>
    <row r="52" spans="1:29" s="61" customFormat="1" ht="12.75">
      <c r="A52" s="60"/>
      <c r="B52" s="142" t="s">
        <v>73</v>
      </c>
      <c r="AC52" s="60"/>
    </row>
    <row r="53" spans="1:29" s="61" customFormat="1" ht="12.75">
      <c r="A53" s="60"/>
      <c r="B53" s="142" t="s">
        <v>77</v>
      </c>
      <c r="AC53" s="60"/>
    </row>
    <row r="54" spans="1:29" s="61" customFormat="1" ht="12.75">
      <c r="A54" s="60"/>
      <c r="B54" s="141"/>
      <c r="AC54" s="60"/>
    </row>
  </sheetData>
  <sheetProtection/>
  <mergeCells count="28">
    <mergeCell ref="I42:I44"/>
    <mergeCell ref="I30:I32"/>
    <mergeCell ref="I34:I36"/>
    <mergeCell ref="A2:AC2"/>
    <mergeCell ref="A3:AC3"/>
    <mergeCell ref="A4:AC4"/>
    <mergeCell ref="A12:B14"/>
    <mergeCell ref="C12:G13"/>
    <mergeCell ref="H12:Q12"/>
    <mergeCell ref="R12:R14"/>
    <mergeCell ref="S12:W13"/>
    <mergeCell ref="X12:AB13"/>
    <mergeCell ref="AC12:AC14"/>
    <mergeCell ref="H13:L13"/>
    <mergeCell ref="M13:Q13"/>
    <mergeCell ref="A16:B16"/>
    <mergeCell ref="A17:B17"/>
    <mergeCell ref="A18:B18"/>
    <mergeCell ref="A15:B15"/>
    <mergeCell ref="C15:G15"/>
    <mergeCell ref="X37:Y37"/>
    <mergeCell ref="I38:I40"/>
    <mergeCell ref="R38:S38"/>
    <mergeCell ref="X38:Y38"/>
    <mergeCell ref="S15:W15"/>
    <mergeCell ref="X15:AB15"/>
    <mergeCell ref="H15:L15"/>
    <mergeCell ref="M15:Q15"/>
  </mergeCells>
  <printOptions horizontalCentered="1"/>
  <pageMargins left="0.79" right="0.79" top="0.2" bottom="0.21259842519685" header="0.5" footer="0.5"/>
  <pageSetup horizontalDpi="600" verticalDpi="600" orientation="landscape" paperSize="3"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Agriculture - OSEC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 DATO</dc:creator>
  <cp:keywords/>
  <dc:description/>
  <cp:lastModifiedBy>s500</cp:lastModifiedBy>
  <cp:lastPrinted>2017-02-09T07:52:54Z</cp:lastPrinted>
  <dcterms:created xsi:type="dcterms:W3CDTF">2015-09-09T10:04:54Z</dcterms:created>
  <dcterms:modified xsi:type="dcterms:W3CDTF">2017-09-28T08:51:31Z</dcterms:modified>
  <cp:category/>
  <cp:version/>
  <cp:contentType/>
  <cp:contentStatus/>
</cp:coreProperties>
</file>